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3820"/>
  <bookViews>
    <workbookView xWindow="240" yWindow="120" windowWidth="14940" windowHeight="9225"/>
  </bookViews>
  <sheets>
    <sheet name="Points Ouverts AG" sheetId="1" r:id="rId1"/>
    <sheet name="Analyse Budget 2009" sheetId="2" r:id="rId2"/>
    <sheet name="Budget 2009" sheetId="3" r:id="rId3"/>
    <sheet name="Bac à sable OK" sheetId="4" r:id="rId4"/>
    <sheet name="Marquage OK" sheetId="5" r:id="rId5"/>
    <sheet name="Local poubelle OK" sheetId="6" r:id="rId6"/>
    <sheet name="Maconnerie" sheetId="7" r:id="rId7"/>
    <sheet name="Gouttieres OK" sheetId="8" r:id="rId8"/>
    <sheet name="pelouse" sheetId="9" r:id="rId9"/>
    <sheet name="Tuyaux" sheetId="10" r:id="rId10"/>
  </sheets>
  <calcPr calcId="145621"/>
</workbook>
</file>

<file path=xl/calcChain.xml><?xml version="1.0" encoding="utf-8"?>
<calcChain xmlns="http://schemas.openxmlformats.org/spreadsheetml/2006/main">
  <c r="D5" i="10" l="1"/>
  <c r="D42" i="4" s="1"/>
  <c r="D4" i="10"/>
  <c r="D41" i="4" s="1"/>
  <c r="D3" i="10"/>
  <c r="D2" i="10"/>
  <c r="C5" i="9"/>
  <c r="C4" i="9"/>
  <c r="C3" i="9"/>
  <c r="C2" i="9"/>
  <c r="C5" i="8"/>
  <c r="C4" i="8"/>
  <c r="C3" i="8"/>
  <c r="C2" i="8"/>
  <c r="F6" i="7"/>
  <c r="F5" i="7"/>
  <c r="C4" i="7"/>
  <c r="F4" i="7" s="1"/>
  <c r="F21" i="4" s="1"/>
  <c r="C3" i="7"/>
  <c r="F3" i="7" s="1"/>
  <c r="F20" i="4" s="1"/>
  <c r="F2" i="7"/>
  <c r="E5" i="6"/>
  <c r="E4" i="6"/>
  <c r="E3" i="6"/>
  <c r="C3" i="6"/>
  <c r="B3" i="6"/>
  <c r="C2" i="6"/>
  <c r="E2" i="6" s="1"/>
  <c r="B2" i="6"/>
  <c r="E4" i="5"/>
  <c r="D4" i="5"/>
  <c r="C4" i="5"/>
  <c r="B4" i="5"/>
  <c r="F4" i="5" s="1"/>
  <c r="F10" i="4" s="1"/>
  <c r="E3" i="5"/>
  <c r="D3" i="5"/>
  <c r="C3" i="5"/>
  <c r="B3" i="5"/>
  <c r="F3" i="5" s="1"/>
  <c r="F9" i="4" s="1"/>
  <c r="E2" i="5"/>
  <c r="C2" i="5"/>
  <c r="B2" i="5"/>
  <c r="C42" i="4"/>
  <c r="B42" i="4"/>
  <c r="A42" i="4"/>
  <c r="C41" i="4"/>
  <c r="B41" i="4"/>
  <c r="A41" i="4"/>
  <c r="D40" i="4"/>
  <c r="C40" i="4"/>
  <c r="B40" i="4"/>
  <c r="A40" i="4"/>
  <c r="D39" i="4"/>
  <c r="C39" i="4"/>
  <c r="B39" i="4"/>
  <c r="A39" i="4"/>
  <c r="C38" i="4"/>
  <c r="B38" i="4"/>
  <c r="C35" i="4"/>
  <c r="B35" i="4"/>
  <c r="A35" i="4"/>
  <c r="C34" i="4"/>
  <c r="B34" i="4"/>
  <c r="A34" i="4"/>
  <c r="C33" i="4"/>
  <c r="B33" i="4"/>
  <c r="A33" i="4"/>
  <c r="C32" i="4"/>
  <c r="B32" i="4"/>
  <c r="A32" i="4"/>
  <c r="B31" i="4"/>
  <c r="C29" i="4"/>
  <c r="B29" i="4"/>
  <c r="A29" i="4"/>
  <c r="C28" i="4"/>
  <c r="B28" i="4"/>
  <c r="A28" i="4"/>
  <c r="C27" i="4"/>
  <c r="B27" i="4"/>
  <c r="A27" i="4"/>
  <c r="C26" i="4"/>
  <c r="B26" i="4"/>
  <c r="A26" i="4"/>
  <c r="B25" i="4"/>
  <c r="F23" i="4"/>
  <c r="E23" i="4"/>
  <c r="D23" i="4"/>
  <c r="C23" i="4"/>
  <c r="B23" i="4"/>
  <c r="A23" i="4"/>
  <c r="F22" i="4"/>
  <c r="E22" i="4"/>
  <c r="D22" i="4"/>
  <c r="C22" i="4"/>
  <c r="B22" i="4"/>
  <c r="A22" i="4"/>
  <c r="E21" i="4"/>
  <c r="D21" i="4"/>
  <c r="C21" i="4"/>
  <c r="B21" i="4"/>
  <c r="A21" i="4"/>
  <c r="E20" i="4"/>
  <c r="D20" i="4"/>
  <c r="C20" i="4"/>
  <c r="B20" i="4"/>
  <c r="A20" i="4"/>
  <c r="F19" i="4"/>
  <c r="E19" i="4"/>
  <c r="D19" i="4"/>
  <c r="C19" i="4"/>
  <c r="B19" i="4"/>
  <c r="A19" i="4"/>
  <c r="E18" i="4"/>
  <c r="D18" i="4"/>
  <c r="C18" i="4"/>
  <c r="B18" i="4"/>
  <c r="E15" i="4"/>
  <c r="D15" i="4"/>
  <c r="C15" i="4"/>
  <c r="B15" i="4"/>
  <c r="A15" i="4"/>
  <c r="E14" i="4"/>
  <c r="D14" i="4"/>
  <c r="C14" i="4"/>
  <c r="B14" i="4"/>
  <c r="A14" i="4"/>
  <c r="D13" i="4"/>
  <c r="C13" i="4"/>
  <c r="B13" i="4"/>
  <c r="A13" i="4"/>
  <c r="D12" i="4"/>
  <c r="C12" i="4"/>
  <c r="B12" i="4"/>
  <c r="G10" i="4"/>
  <c r="E10" i="4"/>
  <c r="D10" i="4"/>
  <c r="C10" i="4"/>
  <c r="B10" i="4"/>
  <c r="A10" i="4"/>
  <c r="E9" i="4"/>
  <c r="D9" i="4"/>
  <c r="C9" i="4"/>
  <c r="B9" i="4"/>
  <c r="A9" i="4"/>
  <c r="E8" i="4"/>
  <c r="C8" i="4"/>
  <c r="B8" i="4"/>
  <c r="A8" i="4"/>
  <c r="F7" i="4"/>
  <c r="E7" i="4"/>
  <c r="D7" i="4"/>
  <c r="C7" i="4"/>
  <c r="B7" i="4"/>
  <c r="H5" i="4"/>
  <c r="F5" i="4"/>
  <c r="D4" i="4"/>
  <c r="F4" i="4" s="1"/>
  <c r="B4" i="4"/>
  <c r="E3" i="4"/>
  <c r="D3" i="4"/>
  <c r="B3" i="4"/>
  <c r="F3" i="4" s="1"/>
  <c r="D2" i="4"/>
  <c r="B2" i="4"/>
  <c r="F2" i="4" s="1"/>
  <c r="D8" i="2"/>
  <c r="B8" i="2"/>
  <c r="D7" i="2"/>
  <c r="B7" i="2"/>
  <c r="D6" i="2"/>
  <c r="B6" i="2"/>
  <c r="D4" i="2"/>
  <c r="B4" i="2"/>
  <c r="D3" i="2"/>
  <c r="B3" i="2"/>
  <c r="D2" i="2"/>
  <c r="D9" i="2" s="1"/>
  <c r="B2" i="2"/>
  <c r="B9" i="2" s="1"/>
  <c r="C5" i="2" s="1"/>
  <c r="D77" i="1"/>
  <c r="E76" i="1"/>
  <c r="E77" i="1" s="1"/>
  <c r="D76" i="1"/>
  <c r="C76" i="1"/>
  <c r="C78" i="1" s="1"/>
  <c r="G75" i="1"/>
  <c r="F75" i="1"/>
  <c r="G74" i="1"/>
  <c r="F74" i="1"/>
  <c r="G73" i="1"/>
  <c r="F73" i="1"/>
  <c r="G72" i="1"/>
  <c r="F72" i="1"/>
  <c r="G71" i="1"/>
  <c r="F71" i="1"/>
  <c r="G70" i="1"/>
  <c r="F70" i="1"/>
  <c r="G69" i="1"/>
  <c r="F69" i="1"/>
  <c r="F76" i="1" s="1"/>
  <c r="C67" i="1"/>
  <c r="G67" i="1" s="1"/>
  <c r="G66" i="1"/>
  <c r="G65" i="1"/>
  <c r="F64" i="1"/>
  <c r="E64" i="1"/>
  <c r="D64" i="1"/>
  <c r="C64" i="1"/>
  <c r="G64" i="1" s="1"/>
  <c r="G63" i="1"/>
  <c r="G62" i="1"/>
  <c r="G61" i="1"/>
  <c r="C61" i="1"/>
  <c r="E61" i="1" s="1"/>
  <c r="E57" i="1" s="1"/>
  <c r="G60" i="1"/>
  <c r="G59" i="1"/>
  <c r="G58" i="1"/>
  <c r="F57" i="1"/>
  <c r="D57" i="1"/>
  <c r="C57" i="1"/>
  <c r="G57" i="1" s="1"/>
  <c r="G56" i="1"/>
  <c r="G55" i="1"/>
  <c r="G54" i="1"/>
  <c r="G53" i="1"/>
  <c r="F52" i="1"/>
  <c r="E52" i="1"/>
  <c r="D52" i="1"/>
  <c r="C52" i="1"/>
  <c r="G52" i="1" s="1"/>
  <c r="G51" i="1"/>
  <c r="G50" i="1"/>
  <c r="G49" i="1"/>
  <c r="F48" i="1"/>
  <c r="E48" i="1"/>
  <c r="D48" i="1"/>
  <c r="C48" i="1"/>
  <c r="G48" i="1" s="1"/>
  <c r="G47" i="1"/>
  <c r="C47" i="1"/>
  <c r="E47" i="1" s="1"/>
  <c r="G46" i="1"/>
  <c r="G45" i="1"/>
  <c r="C45" i="1"/>
  <c r="E45" i="1" s="1"/>
  <c r="F44" i="1"/>
  <c r="C44" i="1"/>
  <c r="G44" i="1" s="1"/>
  <c r="G43" i="1"/>
  <c r="E42" i="1"/>
  <c r="C42" i="1"/>
  <c r="G42" i="1" s="1"/>
  <c r="C41" i="1"/>
  <c r="G41" i="1" s="1"/>
  <c r="D39" i="1"/>
  <c r="G38" i="1"/>
  <c r="G37" i="1"/>
  <c r="G36" i="1"/>
  <c r="G34" i="1"/>
  <c r="C34" i="1"/>
  <c r="E33" i="1"/>
  <c r="C33" i="1"/>
  <c r="G33" i="1" s="1"/>
  <c r="C32" i="1"/>
  <c r="G32" i="1" s="1"/>
  <c r="G31" i="1"/>
  <c r="E31" i="1"/>
  <c r="C31" i="1"/>
  <c r="G30" i="1"/>
  <c r="C30" i="1"/>
  <c r="C29" i="1" s="1"/>
  <c r="G29" i="1" s="1"/>
  <c r="D29" i="1"/>
  <c r="G28" i="1"/>
  <c r="G27" i="1"/>
  <c r="G26" i="1"/>
  <c r="C26" i="1"/>
  <c r="E26" i="1" s="1"/>
  <c r="E24" i="1" s="1"/>
  <c r="G25" i="1"/>
  <c r="E25" i="1"/>
  <c r="C25" i="1"/>
  <c r="C24" i="1" s="1"/>
  <c r="G24" i="1" s="1"/>
  <c r="F24" i="1"/>
  <c r="D24" i="1"/>
  <c r="G23" i="1"/>
  <c r="G22" i="1"/>
  <c r="E22" i="1"/>
  <c r="C22" i="1"/>
  <c r="F21" i="1"/>
  <c r="E21" i="1"/>
  <c r="D21" i="1"/>
  <c r="C21" i="1"/>
  <c r="G21" i="1" s="1"/>
  <c r="G20" i="1"/>
  <c r="G19" i="1"/>
  <c r="G18" i="1"/>
  <c r="G17" i="1"/>
  <c r="G16" i="1"/>
  <c r="G15" i="1"/>
  <c r="G14" i="1"/>
  <c r="G13" i="1"/>
  <c r="F13" i="1"/>
  <c r="E13" i="1"/>
  <c r="C13" i="1"/>
  <c r="G12" i="1"/>
  <c r="F12" i="1"/>
  <c r="C12" i="1"/>
  <c r="G11" i="1"/>
  <c r="G10" i="1"/>
  <c r="G9" i="1"/>
  <c r="G8" i="1"/>
  <c r="G7" i="1"/>
  <c r="G6" i="1"/>
  <c r="G5" i="1"/>
  <c r="G4" i="1"/>
  <c r="G3" i="1"/>
  <c r="F2" i="1"/>
  <c r="E2" i="1"/>
  <c r="D2" i="1"/>
  <c r="D66" i="1" s="1"/>
  <c r="D67" i="1" s="1"/>
  <c r="C2" i="1"/>
  <c r="G2" i="1" s="1"/>
  <c r="C4" i="2" l="1"/>
  <c r="C7" i="2"/>
  <c r="F2" i="5"/>
  <c r="F8" i="4" s="1"/>
  <c r="C40" i="1"/>
  <c r="E13" i="4"/>
  <c r="D78" i="1"/>
  <c r="D79" i="1" s="1"/>
  <c r="E8" i="2"/>
  <c r="E7" i="2"/>
  <c r="E5" i="2"/>
  <c r="D10" i="2"/>
  <c r="E4" i="2"/>
  <c r="E66" i="1"/>
  <c r="F77" i="1"/>
  <c r="G77" i="1"/>
  <c r="C3" i="2"/>
  <c r="C6" i="2"/>
  <c r="C8" i="2"/>
  <c r="E3" i="2"/>
  <c r="E6" i="2"/>
  <c r="G78" i="1"/>
  <c r="C79" i="1"/>
  <c r="E2" i="2"/>
  <c r="D2" i="5"/>
  <c r="D8" i="4" s="1"/>
  <c r="G76" i="1"/>
  <c r="E32" i="1"/>
  <c r="E29" i="1" s="1"/>
  <c r="F33" i="1"/>
  <c r="F29" i="1" s="1"/>
  <c r="E41" i="1"/>
  <c r="E39" i="1" s="1"/>
  <c r="C77" i="1"/>
  <c r="C2" i="2"/>
  <c r="F66" i="1" l="1"/>
  <c r="E78" i="1"/>
  <c r="E79" i="1" s="1"/>
  <c r="G79" i="1" s="1"/>
  <c r="E67" i="1"/>
  <c r="F40" i="1"/>
  <c r="F39" i="1" s="1"/>
  <c r="C39" i="1"/>
  <c r="G39" i="1" s="1"/>
  <c r="G40" i="1"/>
  <c r="F67" i="1" l="1"/>
  <c r="F78" i="1"/>
  <c r="F79" i="1" s="1"/>
</calcChain>
</file>

<file path=xl/comments1.xml><?xml version="1.0" encoding="utf-8"?>
<comments xmlns="http://schemas.openxmlformats.org/spreadsheetml/2006/main">
  <authors>
    <author/>
  </authors>
  <commentList>
    <comment ref="C78" authorId="0">
      <text>
        <r>
          <rPr>
            <sz val="10"/>
            <rFont val="Arial"/>
            <family val="2"/>
          </rPr>
          <t>Jean-Louis:
Budget 2009 prévisionnel</t>
        </r>
      </text>
    </comment>
    <comment ref="B82" authorId="0">
      <text>
        <r>
          <rPr>
            <sz val="10"/>
            <rFont val="Arial"/>
            <family val="2"/>
          </rPr>
          <t>Jean-Louis:
²</t>
        </r>
      </text>
    </comment>
  </commentList>
</comments>
</file>

<file path=xl/sharedStrings.xml><?xml version="1.0" encoding="utf-8"?>
<sst xmlns="http://schemas.openxmlformats.org/spreadsheetml/2006/main" count="307" uniqueCount="182">
  <si>
    <t>Salaires</t>
  </si>
  <si>
    <t>·      Aménagement du rond point pour réaliser des places de parking
Plusieurs résidents se plaignent de ne pas pouvoir sortir de leur parking et manœuvrer autour du rond point. Notre proposition est de réaliser un aménagement du rond point pour permettre le stationnement à cheval. Cela consiste à installer des pavés autobloquants sur 1 m de large et éviter la destruction de la pelouse. Cette modification s'accompagne du marquage des places situées à cheval sur le trottoir.
Le marquage du rond-point est déjà pris en compte par la résolution 21.
Proposition :
Réalisation du marquage de 8 à 10 places pour faciliter le parking</t>
  </si>
  <si>
    <t>Cout</t>
  </si>
  <si>
    <t>·      Achat de matériel de déneigement des allées
Chacun doit dégager l'accès à sa maison, il en va de sa responsabilité (facteur, voisins, visiteurs) mais nous devons veiller au dégagement des allées et trottoirs. Nous devons investir dans un petit matériel adapté.
Proposition :
Achat d'une petite déblayeuse que pourra utiliser Monsieur Dos Santos.</t>
  </si>
  <si>
    <t>Communication</t>
  </si>
  <si>
    <t>Postes</t>
  </si>
  <si>
    <t>Remplacement MDS !!!!</t>
  </si>
  <si>
    <t>·      Aménagement Jeux bacs à sable
Installation de jeux très simples au milieu des bacs à sable
Proposition :
Agrémenter les espaces de jeux pour rendre l'environnement plus attractif.</t>
  </si>
  <si>
    <t>Conseil Syndical
Résolutions 6 &amp; 7</t>
  </si>
  <si>
    <t>bordure entrée</t>
  </si>
  <si>
    <t>·      Peinture des portes de garage
Le ravalement des portes des garages doit être entrepris régulièrement pour participer à l'amélioration de notre résidence. Merci à tous pour cet effort. 
Proposition :
1 - Nous pouvons envisager de faire intervenir une société extérieure pour l'ensemble des portes si vous le souhaitez.
2 - Nous confions cette tache à M. Dos Santos.</t>
  </si>
  <si>
    <t>·      Nettoyage des façades des maisons
Nous rappelons à tous la nécessité d'entretenir leur façade régulièrement afin de ne pas dégrader l'image de la résidence, ainsi que les efforts faits par les autres.
Proposition :
Entreprendre une démarche commune, rassembler plusieurs demandes de ravalement et faire baisser les prix.
L'utilisation du karcher haute pression peut être une alternative provisoire.</t>
  </si>
  <si>
    <t>=([budget_cottage_AG_2010.xls]Feuil1!R38C4+[budget_cottage_AG_2010.xls]Feuil1!R39C4)+[budget_cottage_AG_2010.xls]Feuil1!R40C4</t>
  </si>
  <si>
    <t xml:space="preserve">·      Stockage du sel de déneigement
Le sel nous a fait cruellement défaut cet hiver. Soyons prévoyants et stockons le sel nécessaire en avance. Nous rappelons que la copropriété est responsable du déneigement des toutes les voies communes. Les assurances privées peuvent se retourner contre nous en cas d'accident, sans aucun déneigement. </t>
  </si>
  <si>
    <t>Cout annuel - Fonctionnement et Amélioration de la résidence / par résident ET annuel</t>
  </si>
  <si>
    <t>·      Remplacement de M. Dos Santos pendant ses vacances
Comme chaque année, nous devons remplacer M. Dos Santos pendant ses vacances pour maintenir l'entretien de la résidence.
En parallèle, nous avons demandé au cabinet LAMY de mieux gérer les congés de Monsieur Dos Santos en imposant ses périodes de congé pour éviter les périodes de tonte importantes.
Pour 2010, nous avons demandé au cabinet LAMY d'imposer les périodes de congé comme le prévoir le Code du Travail
Proposition :
Contrat de remplacement de Monsieur Dos Santos pendant ses congés.</t>
  </si>
  <si>
    <t>Liste de travaux et sujets  2009 / 2010 et 2011</t>
  </si>
  <si>
    <t>LASER</t>
  </si>
  <si>
    <t>·      Mise en place d’une benne d’évacuation des déchets verts
Une benne est mise à disposition de M. dos Santos. C'est la solution la moins chère mais elle reste exclusivement à destination des espaces verts de la résidence. Chacun doit évacuer ses déchets vers la déchèterie de la Commune située à 1 km</t>
  </si>
  <si>
    <t>=(((((((+[budget_cottage_AG_2010.xls]Feuil1!R5C4+[budget_cottage_AG_2010.xls]Feuil1!R6C4)+[budget_cottage_AG_2010.xls]Feuil1!R7C4)+[budget_cottage_AG_2010.xls]Feuil1!R11C4)+[budget_cottage_AG_2010.xls]Feuil1!R13C4)+[budget_cottage_AG_2010.xls]Feuil1!R15C4)+[budget_cottage_AG_2010.xls]Feuil1!R16C4)+[budget_cottage_AG_2010.xls]Feuil1!R17C4)+[budget_cottage_AG_2010.xls]Feuil1!R8C4</t>
  </si>
  <si>
    <t>·      Mise en conformité des accès Pompiers - marquage et barrières
Trop de véhicules se garent encore sur les accès Pompier. Il faut renforcer le balisage de ces accès en cas d'intervention. Les accès Pompiers par les placettes 5, 6 et 7 sont obstrués (barrières) et nous devons libérer ces passages au plus vite en cas d'intervention. 
CES TRAVAUX SONT IMPERATIFS. Par défaut la copropriété est responsable des accès et doit les maintenir en état. Evitons tout problème potentiel.
Proposition :
Réalisation des travaux de marquage</t>
  </si>
  <si>
    <t>·      Contrat d'entretien annuel bac à sable
Utilisation d'un produit désinfectant 2 fois par an
cela doit compléter le ratissage des bacs 1 fois par semaine par M Dos Santos.
Le contrat d'entretien ne peut être mis en œuvre qu'à l'issue de la rénovation des bacs à sable !!!
Proposition :
Contrat d'entretien associé avec le ratissage hebdomadaire par Monsieur Dos Santos.</t>
  </si>
  <si>
    <t>·      Recherche d'un nouveau prestataire en remplacement de M. Dos Santos
Délégation doit être faite auprès du C.S pour rechercher un nouveau prestataire et le présenter en assemblée générale extraordinaire. Plusieurs solutions sont offertes :
1 société de service type Chambard
2 C.A.T
3 nouveau salarié
4 auto-entrepreneur (les avantages des points 1 et 3)
Il convient de faire un appel d'offre et de proposition une solution pérenne à long terme.
Proposition :
Délégation auprès du C.S pour mener cet appel d'offre et réaliser l'étude avant présentation en A.G Extraordinaire - Février 2011.</t>
  </si>
  <si>
    <t>·      Plan de retraite de M. Dos Santos
Le départ en retraite de M Dos Santos doit être envisagé et préparé en conformité avec les textes en vigueur. 
Proposition :
Délégation doit être faite auprès du Syndic pour mener cette action en conformité avec la réglementation (reconstitution, délais de prévenance, information du salarié,...)</t>
  </si>
  <si>
    <t>handicape</t>
  </si>
  <si>
    <t>pompier</t>
  </si>
  <si>
    <t>=(+[budget_cottage_AG_2010.xls]Feuil1!R18C4+[budget_cottage_AG_2010.xls]Feuil1!R19C4)+[budget_cottage_AG_2010.xls]Feuil1!R31C4</t>
  </si>
  <si>
    <t>·      Réfection des marquages et peintures au sol
Reprise de toutes les marques de parking et changement des peintures effacées
Programme conjoint avec la rénovation du marquage Pompier devenu une nécessité
Proposition :
Réalisation des travaux de marquage (lié au marquage Pompier)</t>
  </si>
  <si>
    <t>Ecart Assurance</t>
  </si>
  <si>
    <t>pelouse</t>
  </si>
  <si>
    <t>·      Présentation des comptes 2009 et budgets 2010
Nous souffrons d'une baisse des budgets consentis à notre résidence et d'une absence d'investissements pour améliorer l'habitat et notre environnement immédiat. Si nous n'augmentons pas nos efforts d'investissement (espaces verts, convivialité, ornements, etc.), cela ne permettra aucune valorisation des maisons de la résidence. Or ce genre d'investissement doit se prévoir plusieurs années à l'avance pour se réaliser et porter ses fruits. C'est l'intérêt de tous d'y participer.
Propositions :
1 - Présentation et vote des dépenses 2009</t>
  </si>
  <si>
    <t>Exceptionnel</t>
  </si>
  <si>
    <t>·      Organisation des tontes des placettes
Une fiche de travaux a été élaborée pour que M. Dos Santos puisse réaliser la tonte des pelouses tous les après midi, les matinées étant dédiées, si nécessaire, aux travaux d'entretien et de peinture. Nous avant demandé que chaque placette soit faite complètement et à la suite l'une de l'autre.</t>
  </si>
  <si>
    <t>·      Réfection des arches et avancement
Le projet a été voté l'an dernier. Malheureusement les travaux n'ont pas toujours été bien réalisés. L'entreprise responsable a été contactée pour y remédier.</t>
  </si>
  <si>
    <t>AB Marquage
Résolution 23</t>
  </si>
  <si>
    <t>AB Marquage
Résolution 22</t>
  </si>
  <si>
    <t>Votre Vote</t>
  </si>
  <si>
    <t>Propositions d’aménagement</t>
  </si>
  <si>
    <t>2M</t>
  </si>
  <si>
    <t>Conseil Syndical</t>
  </si>
  <si>
    <t>·      Adresse email 
A vous de communiquer - cottages.cressely@laposte.net - Nous en profiterons pour enregistrer votre adresse email et communiquer par ce biais, sauf à trouver des volontaires pour distribuer les courriers dans les 124 boites aux lettres</t>
  </si>
  <si>
    <t>marquage</t>
  </si>
  <si>
    <t>Convivialité</t>
  </si>
  <si>
    <t>JH SIGNALISATION</t>
  </si>
  <si>
    <t>·      Aménagement de bancs sur les placettes
L'amélioration de la convivialité de notre résidence est une priorité. Dès les beaux jours, quantité de familles profitent des espaces verts et nous voulons les rendre plus conviviaux. La disposition de bancs à proximité des bacs à sable et au milieu des placettes doit favoriser ces moments.
Notre proposition est d'équiper plusieurs placettes avec un total de 8 bancs pour favoriser cette convivialité.</t>
  </si>
  <si>
    <t>Produits execp.</t>
  </si>
  <si>
    <t>Rond-Point</t>
  </si>
  <si>
    <t>cloture</t>
  </si>
  <si>
    <t xml:space="preserve">·      Mise en place du site Web des Cottages
A vous de le découvrir. C'est un essai !
http://www.netvibes.com/cottages_cressely
</t>
  </si>
  <si>
    <t>POSITIVE</t>
  </si>
  <si>
    <t>·      Aménagement de 3 places Handicapé
Notre résidence ne dispose d'aucune place Handicapé pour plus de 200 véhicules en stationnement. Si la législation ne nous impose rien jusqu'en 2015 (1 place pour 50), civisme et compréhension doivent nous permettre de faciliter l'accès de notre résidence aux personnes souffrant d'un handicap.
Il ne s'agit pas de verbaliser mais bien de pouvoir compter sur le civisme de chacun.
Proposition :
Réalisation de 3 places handicapé.</t>
  </si>
  <si>
    <t>=(((((+[budget_cottage_AG_2010.xls]Feuil1!R29C6+[budget_cottage_AG_2010.xls]Feuil1!R30C6)+[budget_cottage_AG_2010.xls]Feuil1!R32C6)+[budget_cottage_AG_2010.xls]Feuil1!R34C6)+[budget_cottage_AG_2010.xls]Feuil1!R35C6)+[budget_cottage_AG_2010.xls]Feuil1!R36C6)+[budget_cottage_AG_2010.xls]Feuil1!R37C6</t>
  </si>
  <si>
    <t>=[budget_cottage_AG_2010.xls]Feuil1!R3C4+[budget_cottage_AG_2010.xls]Feuil1!R4C4</t>
  </si>
  <si>
    <t>AB Marquage
Résolution 19</t>
  </si>
  <si>
    <t>C</t>
  </si>
  <si>
    <t>·      Retour des pétitions contre le survol
Plus de 100 personnes ont signé la pétition des Cottages contre le survol. Une première réponse de l'ACCHM reconnaît que le trafic a été déporté de l'Est de Magny vers l'Ouest entrainant encore plus de nuisances !!!. un rendez-vous avec le Maire est programmé le 8 Avril pour avoir quelques explications étant donné la participation de la Mairie à cette décision a priori. Un deuxième rendez-vous a été programmé le 6 Avril avec M. Le Député Vandewalle.
Après une réunion très intéressante avec l'ACCHM, il semble que notre pétition ait fait mouche auprès des autorités. La DGAC semble reconnaitre que les Cottages ont vu leur situation se dégrader et tous en sont bien conscient.
Proposition :
* Faire adhérer l'ASL auprès de l'ACCHM avec une délégation de l'ensemble des résidents. De cette façon, nous gagnerons la représentation de 124 personnes et nous améliorerons notre influence auprès de cette association qui compte 150 membres actifs environ.
* Déléguer auprès de l'ASL toute action en justice vis à vis du non respect des règlements administratifs de la part de la DGAC ou de ADP.</t>
  </si>
  <si>
    <t>M. Dos Santos</t>
  </si>
  <si>
    <t>gouttières</t>
  </si>
  <si>
    <t>·      Sécheresse et état des déclarations
L'état de catastrophe naturel a été refusé par les autorités malheureusement.</t>
  </si>
  <si>
    <t>=(+[budget_cottage_AG_2010.xls]Feuil1!R18C3+[budget_cottage_AG_2010.xls]Feuil1!R19C3)+[budget_cottage_AG_2010.xls]Feuil1!R31C3</t>
  </si>
  <si>
    <t>N</t>
  </si>
  <si>
    <t>O</t>
  </si>
  <si>
    <t>·      Remplacement de M. Dos Santos
En cas de départ de M. Dos Santos, nous devrons le remplacer provisoirement en attentant de faire valider en A.G la proposition définitive de remplacement.
Proposition :
Budget de remplacement de M. Dos Santos après son départ</t>
  </si>
  <si>
    <t>·      Entretien et curage des canalisations tri annuel - eaux de pluie
Débouchage préventif et nettoyage des canalisations d'eaux de pluie pour prévenir les bouchons sur 3 ans. CET ENTRETIEN EST OBLIGATOIRE. Ce deuxième contrat d'entretien sera mis en œuvre pour les eaux de pluie (tuyaux parallèles aux eaux usées) pour un montant plus faible ; ~ 1200 € à confirmer en 2011
Ce devis est hors tronçon EAV déjà pris en compte dans les frais de fonctionnement annuels
Proposition :
Contrat d'entretien sur 3 ans</t>
  </si>
  <si>
    <t>·      Fermeture de la résidence (accès au bois)
L'accès au bois permet toutes les fantaisies et nous avons retrouvé nos caddies et extincteurs très régulièrement dans la mare. Beaucoup de personnes extérieures à la résidence empruntent ce chemin alors qu'un accès existe au bout de la déchèterie.
Proposition :
Fermeture du grillage de la résidence donnant accès au bois.</t>
  </si>
  <si>
    <t>Collectif</t>
  </si>
  <si>
    <t>Vote</t>
  </si>
  <si>
    <t>Budget 2010 annuel par résident</t>
  </si>
  <si>
    <t>Jullien</t>
  </si>
  <si>
    <t>·      Cession de l’avenue
Le C.S propose d'arrêter ce projet. Nous ne sommes pas certain de la destination finale de l'avenue Ledoux une fois le transfert réalisé vers la Mairie de Magny les Hameaux
Proposition :
Non cession de l'Avenue Ledoux à la commune</t>
  </si>
  <si>
    <t>=+[budget_cottage_AG_2010.xls]Feuil1!R9C4+[budget_cottage_AG_2010.xls]Feuil1!R10C4</t>
  </si>
  <si>
    <t>CMA</t>
  </si>
  <si>
    <t>=[budget_cottage_AG_2010.xls]Feuil1!R3C3+[budget_cottage_AG_2010.xls]Feuil1!R4C3</t>
  </si>
  <si>
    <t>·      Cession de la parcelle AL201
Le C.S doit renouveler la cession de la parcelle attenante à l'école pour l'euro symbolique. Tous les frais de cession doivent être imputés à la commune
Proposition :
Cession de la parcelle AL201</t>
  </si>
  <si>
    <t>Fourniture de panneaux inclus</t>
  </si>
  <si>
    <t>VOISIN
Résolution 28</t>
  </si>
  <si>
    <t>·      Réfection des locaux poubelles à la chaux vive
L'hygiène des locaux poubelle doit être améliorée. L'utilisation d'un enduit à la chaux vive, solution qui a fait ses preuves depuis des siècles, est la plus adéquate.
Proposition :
Réalisation des travaux d'assainissement des locaux poubelle</t>
  </si>
  <si>
    <t>porte</t>
  </si>
  <si>
    <t>bancs</t>
  </si>
  <si>
    <t>VOISIN
Résolution 25</t>
  </si>
  <si>
    <t>·      Délégation de gestion de M. Dos Santos auprès du syndic
Le Syndic doit avoir toute latitude pour gérer les relations avec M. Dos Santos, que ce soit sur l'affectation des tâches et travaux (espaces verts, déneigement, peinture, déchets verts), mais aussi vis-à-vis d'éventuelles sanctions (alcool, retards, non exécution des travaux,...)
Proposition :
Délégation auprès du cabinet LAMY pour prendre les mesures nécessaires</t>
  </si>
  <si>
    <t>Résolutions 
10 &amp; 11</t>
  </si>
  <si>
    <t>·      Réfection des gouttières des placettes
Plusieurs gouttières sont en piteux état. Le projet de réfection avait échoué l'an dernier. Un devis plus détaillé et précis a été établi.
Les résidents se plaignent que la pluie dévale des toits des garages sans retenue sur plusieurs placettes !!
Attention, les enfants ne doivent pas escalader les gouttières pour monter sur les toits des garages. Ils peuvent passer à travers les plaques de fibrociment !!!
Proposition :
Réalisation des travaux de réparation des gouttières limité aux parties endommagées</t>
  </si>
  <si>
    <t>SICRE</t>
  </si>
  <si>
    <t>SICRE
Résolution 15</t>
  </si>
  <si>
    <t>VOISIN</t>
  </si>
  <si>
    <t>Maintenance</t>
  </si>
  <si>
    <t>·      Autorisation d’accès – Police et Gendarmerie
Autorisations d'accès pour les autorités  à l'intérieur des Cottages. 
Proposition :
Renouvellement de cette autorisation mais avec une limitation des opérations de police (pas de contravention sur les véhicules)</t>
  </si>
  <si>
    <t>nettoyage</t>
  </si>
  <si>
    <t>Augmentation salaire !!!</t>
  </si>
  <si>
    <t>=(((((((((+[budget_cottage_AG_2010.xls]Feuil1!R5C6+[budget_cottage_AG_2010.xls]Feuil1!R6C6)+[budget_cottage_AG_2010.xls]Feuil1!R7C6)+[budget_cottage_AG_2010.xls]Feuil1!R11C6)+[budget_cottage_AG_2010.xls]Feuil1!R13C6)+[budget_cottage_AG_2010.xls]Feuil1!R15C6)+[budget_cottage_AG_2010.xls]Feuil1!R16C6)+[budget_cottage_AG_2010.xls]Feuil1!R17C6)+[budget_cottage_AG_2010.xls]Feuil1!R8C6)+[budget_cottage_AG_2010.xls]Feuil1!R14C6)+[budget_cottage_AG_2010.xls]Feuil1!R12C6</t>
  </si>
  <si>
    <t>Conseil Syndical
Résolution 9</t>
  </si>
  <si>
    <t>ART &amp; PEINTURE</t>
  </si>
  <si>
    <t>entrée</t>
  </si>
  <si>
    <t>·      Rénovation des bacs à sable
Obligation d'entretien et de remise en conformité des bacs à sable (Normes d'hygiène). En cas de refus, signature par tous les résidents d'une décharge vers leur assurance Responsabilité Civile afin de ne pas faire supporter à l'ASL toute conséquence, en cas d'accident.
Attention, le cout de rebouchage des bacs à sable est plus élevé que les travaux d'entretien (démontage des bordures, évacuation du sable, apport de terre et plantation) + 25% ce qui nous a conduit à abandonner cette solution.
Nous ne sommes pas couvert par notre assurance si nous ne mettons pas en œuvre un contrat d'entretien, en cas d'accident.
Proposition :
Réalisation des travaux d'entretien</t>
  </si>
  <si>
    <t>·      Journée Verte de la Résidence
Etes vous prêt à donner une journée de votre temps tous les 6 mois pour améliorer notre résidence et participer à des travaux d'entretien ou d'aménagement ?
2 dates sont proposées ; les 29 Mai et 2 Octobre .</t>
  </si>
  <si>
    <t>=(((((+[budget_cottage_AG_2010.xls]Feuil1!R29C4+[budget_cottage_AG_2010.xls]Feuil1!R30C4)+[budget_cottage_AG_2010.xls]Feuil1!R32C4)+[budget_cottage_AG_2010.xls]Feuil1!R34C4)+[budget_cottage_AG_2010.xls]Feuil1!R35C4)+[budget_cottage_AG_2010.xls]Feuil1!R36C4)+[budget_cottage_AG_2010.xls]Feuil1!R37C4</t>
  </si>
  <si>
    <t>Journée Verte</t>
  </si>
  <si>
    <t>Réparations</t>
  </si>
  <si>
    <t>Laser Equipement
Résolution 21</t>
  </si>
  <si>
    <t>Total</t>
  </si>
  <si>
    <t>Tous</t>
  </si>
  <si>
    <t>Syndic</t>
  </si>
  <si>
    <t>TOTAL ; Fonctionnement annuel + points ouverts</t>
  </si>
  <si>
    <t>SYNTHESOL</t>
  </si>
  <si>
    <t>·      Réfection des peintures
Décapage et peinture pliolite des abris - compteur à gaz, murs d'entrée, murs des garages, bacs à fleur et barrières.
Peinture des arches et poteaux en mat.</t>
  </si>
  <si>
    <t>·      Financement du départ de M. Dos Santos
Le départ de M. Dos Santos ouvre droit à ses indemnités légales et ce quelque soit le motif de départ. Il est proposé de financer ce départ suivant le fond de réserve mis en place depuis plusieurs années et prenant en compte son maintien dans la résidence depuis 1974.
L'autre solution consiste à budgéter l'ensemble de ses indemnités sur le budget 2010/2011.
Proposition :
Financer le départ de M. Dos Santos sur le fond de réserve.</t>
  </si>
  <si>
    <t>·      Entretien et remplacement des extincteurs
5 extincteurs ont disparu ! Et il convient de tester les autres chaque année.
Soyons vigilant. Cela peut toujours servir…</t>
  </si>
  <si>
    <t>=((((((+[budget_cottage_AG_2010.xls]Feuil1!R20C3+[budget_cottage_AG_2010.xls]Feuil1!R21C3)+[budget_cottage_AG_2010.xls]Feuil1!R23C3)+[budget_cottage_AG_2010.xls]Feuil1!R24C3)+[budget_cottage_AG_2010.xls]Feuil1!R25C3)+[budget_cottage_AG_2010.xls]Feuil1!R26C3)+[budget_cottage_AG_2010.xls]Feuil1!R28C3)+[budget_cottage_AG_2010.xls]Feuil1!R22C3</t>
  </si>
  <si>
    <t>entretien</t>
  </si>
  <si>
    <t>=(+[budget_cottage_AG_2010.xls]Feuil1!R18C6+[budget_cottage_AG_2010.xls]Feuil1!R19C6)+[budget_cottage_AG_2010.xls]Feuil1!R31C6</t>
  </si>
  <si>
    <t>Investissement Amélioration de la résidence  - Les Cottages</t>
  </si>
  <si>
    <t>=[budget_cottage_AG_2010.xls]Feuil1!R3C6+[budget_cottage_AG_2010.xls]Feuil1!R4C6</t>
  </si>
  <si>
    <t>·      Dé moussage du toit des garages
Un nettoyage des toits encombrés par les mousses est nécessaire pour éviter des dommages à moyen terme. Un passage au Karcher peut être suffisant.
Proposition :
Réaliser le nettoyage des toits lors d'une journée verte.</t>
  </si>
  <si>
    <t>Consommables</t>
  </si>
  <si>
    <t>·      embellissement des placettes
Nous voulons favoriser l'embellissement des placettes et les végétaux que les résidents peuvent planter immédiatement devant leur maison. Cependant, deux contraintes s'imposent :
* les résidents concernés doivent assurer la tonte et l'entretien de l'espace vert devant chez eux. M. Dos Santos ne peut pas toujours tourner autour des plantes et assurer la taille des arbustes. Chacun devra se manifester pour éviter de couper des plantations par mégarde.
* Ces plantations doivent être décoratives et entretenues. Il ne s'agit pas de masquer les maisons, ni de créer des installations ou bien des constructions qui ne s'insèrent pas dans le style général des Cottages. Nous devons garder une certaine harmonie.
Le Conseil Syndical se réserve le droit, dans le cas contraire, de faire procéder à la remise en état.
Proposition :
Favoriser l'embellissement des maisons</t>
  </si>
  <si>
    <t>CMA
Résolution 18</t>
  </si>
  <si>
    <t>·      Utilisation des locaux poubelle
Un peu de civisme ; emballez vos ordures sinon nous devrons nettoyer les bacs tous les 3 mois (900 €) - Respectez les destinations des containers - Nos poubelles peuvent être refusées !!!</t>
  </si>
  <si>
    <t>Budget fonctionnement</t>
  </si>
  <si>
    <t>SANDMASTER
Résolution 27</t>
  </si>
  <si>
    <t>·      Entretien et curage des canalisations tri annuel - eaux usées
Débouchage préventif et nettoyage des canalisations d'eaux usées pour prévenir les bouchons sur 3 ans. CET ENTRETIEN EST OBLIGATOIRE. Ce premier contrat est limité aux eaux usées. Un deuxième contrat d'entretien sera mis en œuvre pour les eaux de pluie (tuyaux parallèles aux eaux usées) pour un montant plus faible ; ~ 1200 € à confirmer en 2011
Ce devis est hors tronçon EAV déjà pris en compte dans les frais de fonctionnement annuels
Proposition :
Contrat d'entretien sur 3 ans</t>
  </si>
  <si>
    <t>=([budget_cottage_AG_2010.xls]Feuil1!R38C3+[budget_cottage_AG_2010.xls]Feuil1!R39C3)+[budget_cottage_AG_2010.xls]Feuil1!R40C3</t>
  </si>
  <si>
    <t>=(((((+[budget_cottage_AG_2010.xls]Feuil1!R20C4+[budget_cottage_AG_2010.xls]Feuil1!R21C4)+[budget_cottage_AG_2010.xls]Feuil1!R23C4)+[budget_cottage_AG_2010.xls]Feuil1!R24C4)+[budget_cottage_AG_2010.xls]Feuil1!R25C4)+[budget_cottage_AG_2010.xls]Feuil1!R26C4)+[budget_cottage_AG_2010.xls]Feuil1!R28C4</t>
  </si>
  <si>
    <t>Fonctionnement annuel</t>
  </si>
  <si>
    <t>CHAMBARD</t>
  </si>
  <si>
    <t>=+[budget_cottage_AG_2010.xls]Feuil1!R9C3+[budget_cottage_AG_2010.xls]Feuil1!R10C3</t>
  </si>
  <si>
    <t>Curage</t>
  </si>
  <si>
    <t>JP Batiment</t>
  </si>
  <si>
    <t>VEOLIA</t>
  </si>
  <si>
    <t>LASER EQUIPEMENT</t>
  </si>
  <si>
    <t>·      régénération des espaces verts (pelouses)
Si nous voulons embellir nos pelouses (mousses, zones arrachées, mauvaises herbes,…),nous devons prévoir un traitement curatif (engrais + désherbant) et un semis local.
Notre proposition est de faire un traitement une fois tous les 10 ans sur l'ensemble des pelouses.</t>
  </si>
  <si>
    <t>·      Nettoyage et désinfection des locaux poubelle (murs, sols et bacs à ordure)
C'est une nécessité tous les 2 ans. Merci à M. Genet pour la mise en place de sac en plastique pour protéger les bacs. Ce n'est pas toujours aisé de fixer des sacs dans ces containers souillés.
Proposition :
Désinfection des locaux et des poubelles</t>
  </si>
  <si>
    <t>SANDMASTER
Résolution 24</t>
  </si>
  <si>
    <t>Decalage factu travaux + remplac. MDS</t>
  </si>
  <si>
    <t>Sécurité</t>
  </si>
  <si>
    <t>·      Documentation en ligne
Toute la documentation de la résidence est disponible à partir du site Web. Cela concerne aussi bien les archives, les plans numérisés, les contrats, statuts, devis, etc.
S'il en manque, numérisez et nous mettrons en ligne</t>
  </si>
  <si>
    <t>Dépenses 2009</t>
  </si>
  <si>
    <t>TDIE</t>
  </si>
  <si>
    <t>=(((((+[budget_cottage_AG_2010.xls]Feuil1!R29C3+[budget_cottage_AG_2010.xls]Feuil1!R30C3)+[budget_cottage_AG_2010.xls]Feuil1!R32C3)+[budget_cottage_AG_2010.xls]Feuil1!R34C3)+[budget_cottage_AG_2010.xls]Feuil1!R35C3)+[budget_cottage_AG_2010.xls]Feuil1!R36C3)+[budget_cottage_AG_2010.xls]Feuil1!R37C3</t>
  </si>
  <si>
    <t>Depenses 2009</t>
  </si>
  <si>
    <t>Budget 2010</t>
  </si>
  <si>
    <t>Budget 2011</t>
  </si>
  <si>
    <t>·      Assemblée Générale
L'A.G aura lieu le 20 Mai. Un pot d'accueil vous sera offert dès 19 h.</t>
  </si>
  <si>
    <t>Travaux d’entretien</t>
  </si>
  <si>
    <t>·      Gestion de la résidence par le cabinet LAMY
Nous demandons que le cabinet LAMY fasse un suivi rigoureux et mensuel des travaux de M. Dos Santos. Pour ce faire :
* définition des travaux mensuels y compris avec M. Dos Santos
* proposition et remarques des résidents un mois avant la mise en œuvre au minimum
* mise en place d'un tableau de bord mensuel pour suivre les activités de façon factuelle
Proposition :
Suivi mensuel des prestations du cabinet LAMY</t>
  </si>
  <si>
    <t>jeux</t>
  </si>
  <si>
    <t xml:space="preserve">·      Renouvellement du cabinet LAMY
Lamy nous a transmis ses nouveaux contrats annuels. Une augmentation de 1,8% a été proposée
Nous demandons que LAMY fasse un suivi rigoureux et mensuel des travaux de M. Dos Santos.
Proposition :
Renouvellement du contrat de gestion LAMY avec un suivi mensuel des différents travaux dans la résidence
</t>
  </si>
  <si>
    <t>=([budget_cottage_AG_2010.xls]Feuil1!R38C6+[budget_cottage_AG_2010.xls]Feuil1!R39C6)+[budget_cottage_AG_2010.xls]Feuil1!R40C6</t>
  </si>
  <si>
    <t>Administration</t>
  </si>
  <si>
    <t>Budget 2009</t>
  </si>
  <si>
    <t>Conseil Syndical
Résolution 16</t>
  </si>
  <si>
    <t>SAGEX</t>
  </si>
  <si>
    <t>Budget 1200€</t>
  </si>
  <si>
    <t>Conseil Syndical
Résolution 17</t>
  </si>
  <si>
    <t>·      Création d'un budget d'amélioration et d'investissement
Notre proposition est de créer un budget spécifique aux travaux d'amélioration  - Budget pour travaux futurs sur 3 ans - sur la base de 150 à 200 € par an (moins de 18 € par mois) pour pouvoir réaliser différents travaux d'amélioration et d'embellissement.
Ce budget est une provision, mais les différents travaux devront être votés lors des A.G annuelle.
Proposition :
Création d'une ligne budgétaire pour travaux futurs de 200 € par résident destiné à l'amélioration de la résidence des Cottages à partir de 2011.</t>
  </si>
  <si>
    <t>Propositions de la résidence</t>
  </si>
  <si>
    <t>Par résident ET annuel</t>
  </si>
  <si>
    <t>Conseil Syndical
Résolution 14</t>
  </si>
  <si>
    <t>Conseil Syndical
Résolution 13</t>
  </si>
  <si>
    <t>JULLIEN</t>
  </si>
  <si>
    <t>Rénovation</t>
  </si>
  <si>
    <t>Conseil Syndical
Résolution 20</t>
  </si>
  <si>
    <t>·      Plan de départ de M. Dos Santos
La situation est simple. M. Dos Santos peut attendre sa mise à la retraite jusqu'en 2017, âge de ses 70 ans. Aujourd'hui il est fatigué et astreint à des travaux pénibles. Malheureusement, il n'existe aucune solution pour reconnaitre cet état. En synthèse :
* Départ en 2017 à 70 ans ; 29 191 € (mais il risque d'y laisser définitivement sa santé)
* Départ en 2016, au bout de 42 ans de service ; ~29 000 € (idem)
* Départ en 2012, à 65 ans, soit 38 années de service ; ~ 26 000 € (à sa demande express)
* Départ en 2010, avec 36 ans de service à la résidence - dans ce cas, ses 36 mois de chômage comptent pour sa retraite, soit 3 ans en plus, et il n'est pas obligé de rechercher un emploi tout en atteignant l'âge de 65 ans ; 23 676 €
Suivant les informations disponibles, Monsieur Dos Santos  a travaillé avant 1974 (soit 6 à 9 ans), mais nous n'avons aucune reconstitution de carrière. Vraisemblablement, il na pas été déclaré mais nous ne pouvons pas prendre en compte cet élément sachant que les années 65/73 correspondent à des années de plein emploi !!!. Ceci nous amènerait à près de 42 années de service, soit un départ en retraite à taux plein et immédiat (6 mois).
Propositions :
1 - Départ de Monsieur Dos Santos en 2010 mais avec 29 000 € (valorisation retraite - &amp; fiscalité beaucoup plus avantageuse pour Monsieur Dos Santos) ou bien
2 - Départ en 2017</t>
  </si>
  <si>
    <t>Acces pompier</t>
  </si>
  <si>
    <t>Entretien courant</t>
  </si>
  <si>
    <t>·      Barbecue de la résidence
Une première date est proposée le 12 Juin pour que tous puissent se joindre. Comme chaque année le C.S offre un apéritif.</t>
  </si>
  <si>
    <t>·      Tentatives de cambriolage et vols
Plusieurs tentatives ont eu lieu. Chacun doit faire attention à bien fermer ses accès extérieurs. En cas de doute, n'hésitez pas à appeler la Gendarmerie ou bien la Police Municipale.
D'autres vols ont eu lieu sur des véhicules, malheureusement comme chaque année.
Soyons vigilants entre nous.</t>
  </si>
  <si>
    <t>AB MARQUAGE</t>
  </si>
  <si>
    <t>·     Parking au sein de la résidence
Nous constatons que 15% à 20% des places de parking situées devant les garages ne sont pas systématiquement occupées, suivant les placettes. Nous demandons à tous les résidents d'occuper leur place devant les parkings en priorité pour limiter au maximum le stationnement sur les trottoirs.</t>
  </si>
  <si>
    <t>Espaces Verts</t>
  </si>
  <si>
    <t>·      Evacuation des déchets verts de la fosse de décantation
Les déchets ont été entreposés pendant plusieurs années et pourrissent à proximité des jardins des résidents. Ils encombrent le bassin de stockage des eaux de ruissellement. Nous avons demandé à M. Dos Santos d'évacuer ces déchets à l'aide de la benne mise à disposition et ce avant cet été.</t>
  </si>
  <si>
    <t>·      Création d'un passage piéton à l'entrée de la résidence et marquage des places de parking.
Nous devons renforcer la sécurité à l'entrée de la résidence et améliorer les conditions d'accès. Trop de voitures extérieures à la résidence se garent sur les trottoirs et manœuvrent sans faire attention aux enfants qui sortent de Samain et Corot. N'attendons pas un accident.
Des discussions ont été établies avec la Mairie pour que cette démarche soit conjointe ou supportée par la commune.
La vitesse est limitée à 20 km/h dans toute la résidence.
Le projet doit être présenté officiellement à la Mairie pour pouvoir négocier une prise en charge partielle du financement - échange avec le lot 201. Mais avant toute négociation, il doit être avalisé en A.G.
Proposition :
Réalisation des marquages pour sécuriser l'entrée de la résidence</t>
  </si>
  <si>
    <t>SANDMASTER</t>
  </si>
  <si>
    <t>=(((((((((+[budget_cottage_AG_2010.xls]Feuil1!R5C3+[budget_cottage_AG_2010.xls]Feuil1!R6C3)+[budget_cottage_AG_2010.xls]Feuil1!R7C3)+[budget_cottage_AG_2010.xls]Feuil1!R11C3)+[budget_cottage_AG_2010.xls]Feuil1!R13C3)+[budget_cottage_AG_2010.xls]Feuil1!R15C3)+[budget_cottage_AG_2010.xls]Feuil1!R16C3)+[budget_cottage_AG_2010.xls]Feuil1!R17C3)+[budget_cottage_AG_2010.xls]Feuil1!R8C3)+[budget_cottage_AG_2010.xls]Feuil1!R12C3)+[budget_cottage_AG_2010.xls]Feuil1!R14C3</t>
  </si>
  <si>
    <t>=+[budget_cottage_AG_2010.xls]Feuil1!R9C6+[budget_cottage_AG_2010.xls]Feuil1!R10C6</t>
  </si>
  <si>
    <t>2M
Résolution 23</t>
  </si>
  <si>
    <t>Réalisation</t>
  </si>
  <si>
    <t>F2M</t>
  </si>
  <si>
    <t>Entretien</t>
  </si>
  <si>
    <t>local</t>
  </si>
  <si>
    <t>·      Rentrée d'automne
Difficile de se remettre de si longues vacances. Nous vous proposons le 18 Septembre à 18h. Un apéritif sera offert par le C.S. A vous d'apporter sucré et salé.</t>
  </si>
  <si>
    <t>=(((((+[budget_cottage_AG_2010.xls]Feuil1!R20C6+[budget_cottage_AG_2010.xls]Feuil1!R21C6)+[budget_cottage_AG_2010.xls]Feuil1!R23C6)+[budget_cottage_AG_2010.xls]Feuil1!R24C6)+[budget_cottage_AG_2010.xls]Feuil1!R25C6)+[budget_cottage_AG_2010.xls]Feuil1!R26C6)+[budget_cottage_AG_2010.xls]Feuil1!R28C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</si>
</sst>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
    <numFmt numFmtId="165" formatCode="#,##0.00;\-#,##0.00\ [$€]"/>
    <numFmt numFmtId="166" formatCode="0.0%"/>
    <numFmt numFmtId="167" formatCode="#,##0.0;\-#,##0.0\ [$€]"/>
  </numFmts>
  <fonts count="18" x14ac:knownFonts="1">
    <font>
      <sz val="10"/>
      <name val="Arial"/>
      <family val="2"/>
    </font>
    <font>
      <b/>
      <u/>
      <sz val="28"/>
      <color rgb="FF000000"/>
      <name val="Arial"/>
      <family val="2"/>
    </font>
    <font>
      <b/>
      <u/>
      <sz val="16"/>
      <color rgb="FF000000"/>
      <name val="Arial"/>
      <family val="2"/>
    </font>
    <font>
      <b/>
      <u/>
      <sz val="20"/>
      <color rgb="FF000000"/>
      <name val="Arial"/>
      <family val="2"/>
    </font>
    <font>
      <sz val="16"/>
      <color rgb="FF000000"/>
      <name val="Arial"/>
      <family val="2"/>
    </font>
    <font>
      <b/>
      <sz val="16"/>
      <color rgb="FF000000"/>
      <name val="Arial"/>
      <family val="2"/>
    </font>
    <font>
      <i/>
      <sz val="16"/>
      <color rgb="FF000000"/>
      <name val="Arial"/>
      <family val="2"/>
    </font>
    <font>
      <b/>
      <i/>
      <sz val="16"/>
      <color rgb="FF000000"/>
      <name val="Arial"/>
      <family val="2"/>
    </font>
    <font>
      <sz val="11"/>
      <color rgb="FF000000"/>
      <name val="Arial"/>
      <family val="2"/>
    </font>
    <font>
      <b/>
      <sz val="20"/>
      <color rgb="FF000000"/>
      <name val="Arial"/>
      <family val="2"/>
    </font>
    <font>
      <b/>
      <sz val="11"/>
      <color rgb="FF000000"/>
      <name val="Arial"/>
      <family val="2"/>
    </font>
    <font>
      <b/>
      <i/>
      <sz val="28"/>
      <color rgb="FF000000"/>
      <name val="Arial"/>
      <family val="2"/>
    </font>
    <font>
      <b/>
      <sz val="22"/>
      <color rgb="FF000000"/>
      <name val="Arial"/>
      <family val="2"/>
    </font>
    <font>
      <b/>
      <i/>
      <sz val="22"/>
      <color rgb="FF000000"/>
      <name val="Arial"/>
      <family val="2"/>
    </font>
    <font>
      <b/>
      <i/>
      <u/>
      <sz val="28"/>
      <color rgb="FF000000"/>
      <name val="Arial"/>
      <family val="2"/>
    </font>
    <font>
      <b/>
      <sz val="28"/>
      <color rgb="FF000000"/>
      <name val="Arial"/>
      <family val="2"/>
    </font>
    <font>
      <b/>
      <i/>
      <sz val="11"/>
      <color rgb="FF000000"/>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bottom/>
      <diagonal/>
    </border>
    <border>
      <left/>
      <right/>
      <top style="thin">
        <color auto="1"/>
      </top>
      <bottom style="thin">
        <color auto="1"/>
      </bottom>
      <diagonal/>
    </border>
    <border>
      <left/>
      <right/>
      <top/>
      <bottom style="thin">
        <color auto="1"/>
      </bottom>
      <diagonal/>
    </border>
  </borders>
  <cellStyleXfs count="6">
    <xf numFmtId="0" fontId="0" fillId="0" borderId="0">
      <alignment vertical="center"/>
    </xf>
    <xf numFmtId="9" fontId="17" fillId="0" borderId="0" applyFont="0" applyFill="0" applyBorder="0" applyAlignment="0" applyProtection="0">
      <alignment vertical="center"/>
    </xf>
    <xf numFmtId="44" fontId="17" fillId="0" borderId="0" applyFont="0" applyFill="0" applyBorder="0" applyAlignment="0" applyProtection="0">
      <alignment vertical="center"/>
    </xf>
    <xf numFmtId="42" fontId="17" fillId="0" borderId="0" applyFont="0" applyFill="0" applyBorder="0" applyAlignment="0" applyProtection="0">
      <alignment vertical="center"/>
    </xf>
    <xf numFmtId="43" fontId="17" fillId="0" borderId="0" applyFont="0" applyFill="0" applyBorder="0" applyAlignment="0" applyProtection="0">
      <alignment vertical="center"/>
    </xf>
    <xf numFmtId="41" fontId="17" fillId="0" borderId="0" applyFont="0" applyFill="0" applyBorder="0" applyAlignment="0" applyProtection="0">
      <alignment vertical="center"/>
    </xf>
  </cellStyleXfs>
  <cellXfs count="62">
    <xf numFmtId="0" fontId="0" fillId="0" borderId="0" xfId="0">
      <alignment vertical="center"/>
    </xf>
    <xf numFmtId="0" fontId="1" fillId="0" borderId="1" xfId="0" applyNumberFormat="1" applyFont="1" applyFill="1" applyBorder="1" applyAlignment="1">
      <alignment horizontal="right" vertical="center" wrapText="1"/>
    </xf>
    <xf numFmtId="0" fontId="2" fillId="0" borderId="1" xfId="0" applyNumberFormat="1"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164" fontId="5" fillId="2" borderId="2" xfId="0" applyNumberFormat="1" applyFont="1" applyFill="1" applyBorder="1" applyAlignment="1">
      <alignment horizontal="right"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164" fontId="4" fillId="0" borderId="2" xfId="0" applyNumberFormat="1" applyFont="1" applyFill="1" applyBorder="1" applyAlignment="1">
      <alignment horizontal="right" vertical="center" wrapText="1"/>
    </xf>
    <xf numFmtId="0" fontId="4"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164" fontId="4" fillId="2" borderId="2" xfId="0" applyNumberFormat="1" applyFont="1" applyFill="1" applyBorder="1" applyAlignment="1">
      <alignment horizontal="right" vertical="center" wrapText="1"/>
    </xf>
    <xf numFmtId="164" fontId="6" fillId="2" borderId="2" xfId="0" applyNumberFormat="1" applyFont="1" applyFill="1" applyBorder="1" applyAlignment="1">
      <alignment horizontal="right" vertical="center" wrapText="1"/>
    </xf>
    <xf numFmtId="0" fontId="5"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164" fontId="5" fillId="0" borderId="2" xfId="0" applyNumberFormat="1" applyFont="1" applyFill="1" applyBorder="1" applyAlignment="1">
      <alignment horizontal="right" vertical="center" wrapText="1"/>
    </xf>
    <xf numFmtId="164" fontId="7" fillId="0" borderId="2" xfId="0" applyNumberFormat="1" applyFont="1" applyFill="1" applyBorder="1" applyAlignment="1">
      <alignment horizontal="right" vertical="center" wrapText="1"/>
    </xf>
    <xf numFmtId="164" fontId="6" fillId="0" borderId="2" xfId="0" applyNumberFormat="1" applyFont="1" applyFill="1" applyBorder="1" applyAlignment="1">
      <alignment horizontal="right" vertical="center" wrapText="1"/>
    </xf>
    <xf numFmtId="0" fontId="2" fillId="0" borderId="2" xfId="0" applyNumberFormat="1"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164" fontId="7" fillId="2" borderId="2" xfId="0" applyNumberFormat="1" applyFont="1" applyFill="1" applyBorder="1" applyAlignment="1">
      <alignment horizontal="right" vertical="center" wrapText="1"/>
    </xf>
    <xf numFmtId="49" fontId="6"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xf>
    <xf numFmtId="164" fontId="9" fillId="2" borderId="2" xfId="0" applyNumberFormat="1" applyFont="1" applyFill="1" applyBorder="1" applyAlignment="1">
      <alignment horizontal="right" vertical="center" wrapText="1"/>
    </xf>
    <xf numFmtId="0" fontId="10" fillId="0" borderId="2" xfId="0" applyNumberFormat="1" applyFont="1" applyFill="1" applyBorder="1" applyAlignment="1">
      <alignment horizontal="left"/>
    </xf>
    <xf numFmtId="0" fontId="11"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right" vertical="center" wrapText="1"/>
    </xf>
    <xf numFmtId="164" fontId="12" fillId="0" borderId="2" xfId="0" applyNumberFormat="1" applyFont="1" applyFill="1" applyBorder="1" applyAlignment="1">
      <alignment horizontal="right" vertical="center" wrapText="1"/>
    </xf>
    <xf numFmtId="164" fontId="8" fillId="0" borderId="2" xfId="0" applyNumberFormat="1" applyFont="1" applyFill="1" applyBorder="1" applyAlignment="1">
      <alignment horizontal="right"/>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4" fontId="13" fillId="2" borderId="2" xfId="0" applyNumberFormat="1" applyFont="1" applyFill="1" applyBorder="1" applyAlignment="1">
      <alignment horizontal="right" vertical="center" wrapText="1"/>
    </xf>
    <xf numFmtId="0" fontId="14" fillId="0" borderId="2" xfId="0" applyNumberFormat="1" applyFont="1" applyFill="1" applyBorder="1" applyAlignment="1">
      <alignment horizontal="left" vertical="center" wrapText="1"/>
    </xf>
    <xf numFmtId="49" fontId="15" fillId="0" borderId="2" xfId="0" applyNumberFormat="1" applyFont="1" applyFill="1" applyBorder="1" applyAlignment="1">
      <alignment horizontal="left" vertical="center" wrapText="1"/>
    </xf>
    <xf numFmtId="164" fontId="15" fillId="2" borderId="2" xfId="0" applyNumberFormat="1" applyFont="1" applyFill="1" applyBorder="1" applyAlignment="1">
      <alignment horizontal="right" vertical="center" wrapText="1"/>
    </xf>
    <xf numFmtId="0" fontId="0" fillId="0" borderId="5" xfId="0" applyNumberFormat="1" applyFont="1" applyFill="1" applyBorder="1" applyAlignment="1">
      <alignment wrapText="1"/>
    </xf>
    <xf numFmtId="0" fontId="8" fillId="0" borderId="0" xfId="0" applyNumberFormat="1" applyFont="1" applyFill="1" applyAlignment="1">
      <alignment horizontal="left"/>
    </xf>
    <xf numFmtId="165" fontId="8" fillId="0" borderId="2" xfId="0" applyNumberFormat="1" applyFont="1" applyFill="1" applyBorder="1" applyAlignment="1">
      <alignment horizontal="right"/>
    </xf>
    <xf numFmtId="166" fontId="8" fillId="0" borderId="2" xfId="0" applyNumberFormat="1" applyFont="1" applyFill="1" applyBorder="1" applyAlignment="1">
      <alignment horizontal="right"/>
    </xf>
    <xf numFmtId="0" fontId="10" fillId="0" borderId="2" xfId="0" applyNumberFormat="1" applyFont="1" applyFill="1" applyBorder="1" applyAlignment="1">
      <alignment horizontal="right"/>
    </xf>
    <xf numFmtId="165" fontId="10" fillId="0" borderId="2" xfId="0" applyNumberFormat="1" applyFont="1" applyFill="1" applyBorder="1" applyAlignment="1">
      <alignment horizontal="right"/>
    </xf>
    <xf numFmtId="165" fontId="16" fillId="0" borderId="5" xfId="0" applyNumberFormat="1" applyFont="1" applyFill="1" applyBorder="1" applyAlignment="1">
      <alignment horizontal="right"/>
    </xf>
    <xf numFmtId="0" fontId="0" fillId="0" borderId="6" xfId="0" applyNumberFormat="1" applyFont="1" applyFill="1" applyBorder="1" applyAlignment="1">
      <alignment wrapText="1"/>
    </xf>
    <xf numFmtId="164" fontId="8" fillId="2" borderId="2" xfId="0" applyNumberFormat="1" applyFont="1" applyFill="1" applyBorder="1" applyAlignment="1">
      <alignment horizontal="right"/>
    </xf>
    <xf numFmtId="0" fontId="8" fillId="2" borderId="2" xfId="0" applyNumberFormat="1" applyFont="1" applyFill="1" applyBorder="1" applyAlignment="1">
      <alignment horizontal="left"/>
    </xf>
    <xf numFmtId="0" fontId="8" fillId="0" borderId="0" xfId="0" applyNumberFormat="1" applyFont="1" applyFill="1" applyAlignment="1">
      <alignment horizontal="right"/>
    </xf>
    <xf numFmtId="0" fontId="0" fillId="0" borderId="7" xfId="0" applyNumberFormat="1" applyFont="1" applyFill="1" applyBorder="1" applyAlignment="1">
      <alignment wrapText="1"/>
    </xf>
    <xf numFmtId="0" fontId="8" fillId="0" borderId="2" xfId="0" applyNumberFormat="1" applyFont="1" applyFill="1" applyBorder="1" applyAlignment="1">
      <alignment horizontal="right"/>
    </xf>
    <xf numFmtId="164" fontId="8" fillId="0" borderId="6" xfId="0" applyNumberFormat="1" applyFont="1" applyFill="1" applyBorder="1" applyAlignment="1">
      <alignment horizontal="right" wrapText="1"/>
    </xf>
    <xf numFmtId="0" fontId="0" fillId="0" borderId="8" xfId="0" applyNumberFormat="1" applyFont="1" applyFill="1" applyBorder="1" applyAlignment="1">
      <alignment wrapText="1"/>
    </xf>
    <xf numFmtId="167" fontId="8" fillId="0" borderId="2" xfId="0" applyNumberFormat="1" applyFont="1" applyFill="1" applyBorder="1" applyAlignment="1">
      <alignment horizontal="right"/>
    </xf>
    <xf numFmtId="167" fontId="8" fillId="2" borderId="2" xfId="0" applyNumberFormat="1" applyFont="1" applyFill="1" applyBorder="1" applyAlignment="1">
      <alignment horizontal="right"/>
    </xf>
    <xf numFmtId="0" fontId="8" fillId="0" borderId="6" xfId="0" applyNumberFormat="1" applyFont="1" applyFill="1" applyBorder="1" applyAlignment="1">
      <alignment horizontal="left"/>
    </xf>
    <xf numFmtId="165" fontId="8" fillId="2" borderId="2" xfId="0" applyNumberFormat="1" applyFont="1" applyFill="1" applyBorder="1" applyAlignment="1">
      <alignment horizontal="right"/>
    </xf>
  </cellXfs>
  <cellStyles count="6">
    <cellStyle name="Comma" xfId="4"/>
    <cellStyle name="Comma[0]" xfId="5"/>
    <cellStyle name="Currency" xfId="2"/>
    <cellStyle name="Currency[0]" xfId="3"/>
    <cellStyle name="Normal" xfId="0" builtinId="0"/>
    <cellStyle name="Percent" xfId="1"/>
  </cellStyles>
  <dxfs count="0"/>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2"/>
  <sheetViews>
    <sheetView tabSelected="1" workbookViewId="0">
      <pane xSplit="1" ySplit="2" topLeftCell="B3" activePane="bottomRight" state="frozenSplit"/>
      <selection pane="topRight" activeCell="B1" sqref="B1"/>
      <selection pane="bottomLeft" activeCell="A3" sqref="A3"/>
      <selection pane="bottomRight" activeCell="B3" sqref="B3"/>
    </sheetView>
  </sheetViews>
  <sheetFormatPr baseColWidth="10" defaultColWidth="11.42578125" defaultRowHeight="14.25" customHeight="1" x14ac:dyDescent="0.2"/>
  <cols>
    <col min="1" max="1" width="122.7109375" customWidth="1"/>
    <col min="2" max="2" width="26.28515625" customWidth="1"/>
    <col min="3" max="6" width="23.28515625" customWidth="1"/>
    <col min="7" max="7" width="18.7109375" customWidth="1"/>
    <col min="8" max="8" width="12.7109375" customWidth="1"/>
    <col min="9" max="9" width="19.42578125" customWidth="1"/>
  </cols>
  <sheetData>
    <row r="1" spans="1:9" ht="81" x14ac:dyDescent="0.2">
      <c r="A1" s="1" t="s">
        <v>16</v>
      </c>
      <c r="B1" s="2" t="s">
        <v>176</v>
      </c>
      <c r="C1" s="3" t="s">
        <v>2</v>
      </c>
      <c r="D1" s="3" t="s">
        <v>136</v>
      </c>
      <c r="E1" s="3" t="s">
        <v>140</v>
      </c>
      <c r="F1" s="3" t="s">
        <v>141</v>
      </c>
      <c r="G1" s="3" t="s">
        <v>67</v>
      </c>
      <c r="H1" s="4" t="s">
        <v>66</v>
      </c>
      <c r="I1" s="4" t="s">
        <v>36</v>
      </c>
    </row>
    <row r="2" spans="1:9" ht="26.25" x14ac:dyDescent="0.2">
      <c r="A2" s="5" t="s">
        <v>65</v>
      </c>
      <c r="B2" s="6"/>
      <c r="C2" s="7">
        <f>SUM(C5:C20)</f>
        <v>29668</v>
      </c>
      <c r="D2" s="7">
        <f>SUM(D5:D20)</f>
        <v>0</v>
      </c>
      <c r="E2" s="7">
        <f>SUM(E5:E20)</f>
        <v>868</v>
      </c>
      <c r="F2" s="7">
        <f>SUM(F5:F20)</f>
        <v>19468</v>
      </c>
      <c r="G2" s="7">
        <f t="shared" ref="G2:G34" si="0">+C2/124</f>
        <v>239.25806451612902</v>
      </c>
      <c r="H2" s="8"/>
      <c r="I2" s="8"/>
    </row>
    <row r="3" spans="1:9" ht="222.75" x14ac:dyDescent="0.2">
      <c r="A3" s="9" t="s">
        <v>30</v>
      </c>
      <c r="B3" s="6" t="s">
        <v>8</v>
      </c>
      <c r="C3" s="10"/>
      <c r="D3" s="10"/>
      <c r="E3" s="10"/>
      <c r="F3" s="10"/>
      <c r="G3" s="10">
        <f t="shared" si="0"/>
        <v>0</v>
      </c>
      <c r="H3" s="8" t="s">
        <v>61</v>
      </c>
      <c r="I3" s="11"/>
    </row>
    <row r="4" spans="1:9" ht="222.75" x14ac:dyDescent="0.2">
      <c r="A4" s="9" t="s">
        <v>146</v>
      </c>
      <c r="B4" s="6" t="s">
        <v>91</v>
      </c>
      <c r="C4" s="10"/>
      <c r="D4" s="10"/>
      <c r="E4" s="10"/>
      <c r="F4" s="10"/>
      <c r="G4" s="10">
        <f t="shared" si="0"/>
        <v>0</v>
      </c>
      <c r="H4" s="8" t="s">
        <v>61</v>
      </c>
      <c r="I4" s="11"/>
    </row>
    <row r="5" spans="1:9" ht="243" x14ac:dyDescent="0.2">
      <c r="A5" s="12" t="s">
        <v>144</v>
      </c>
      <c r="B5" s="6" t="s">
        <v>91</v>
      </c>
      <c r="C5" s="10"/>
      <c r="D5" s="10"/>
      <c r="E5" s="10"/>
      <c r="F5" s="10"/>
      <c r="G5" s="10">
        <f t="shared" si="0"/>
        <v>0</v>
      </c>
      <c r="H5" s="8" t="s">
        <v>61</v>
      </c>
      <c r="I5" s="11"/>
    </row>
    <row r="6" spans="1:9" ht="182.25" x14ac:dyDescent="0.2">
      <c r="A6" s="12" t="s">
        <v>23</v>
      </c>
      <c r="B6" s="6" t="s">
        <v>161</v>
      </c>
      <c r="C6" s="10"/>
      <c r="D6" s="10"/>
      <c r="E6" s="10"/>
      <c r="F6" s="10"/>
      <c r="G6" s="10">
        <f t="shared" si="0"/>
        <v>0</v>
      </c>
      <c r="H6" s="8" t="s">
        <v>61</v>
      </c>
      <c r="I6" s="11"/>
    </row>
    <row r="7" spans="1:9" ht="182.25" x14ac:dyDescent="0.2">
      <c r="A7" s="12" t="s">
        <v>80</v>
      </c>
      <c r="B7" s="6" t="s">
        <v>161</v>
      </c>
      <c r="C7" s="10"/>
      <c r="D7" s="10"/>
      <c r="E7" s="10"/>
      <c r="F7" s="10"/>
      <c r="G7" s="10">
        <f t="shared" si="0"/>
        <v>0</v>
      </c>
      <c r="H7" s="8" t="s">
        <v>61</v>
      </c>
      <c r="I7" s="11"/>
    </row>
    <row r="8" spans="1:9" ht="222.75" x14ac:dyDescent="0.2">
      <c r="A8" s="12" t="s">
        <v>106</v>
      </c>
      <c r="B8" s="6" t="s">
        <v>161</v>
      </c>
      <c r="C8" s="10"/>
      <c r="D8" s="10"/>
      <c r="E8" s="10"/>
      <c r="F8" s="10"/>
      <c r="G8" s="10">
        <f t="shared" si="0"/>
        <v>0</v>
      </c>
      <c r="H8" s="8" t="s">
        <v>61</v>
      </c>
      <c r="I8" s="11"/>
    </row>
    <row r="9" spans="1:9" ht="409.5" x14ac:dyDescent="0.2">
      <c r="A9" s="12" t="s">
        <v>162</v>
      </c>
      <c r="B9" s="6" t="s">
        <v>161</v>
      </c>
      <c r="C9" s="10"/>
      <c r="D9" s="10"/>
      <c r="E9" s="10"/>
      <c r="F9" s="10"/>
      <c r="G9" s="10">
        <f t="shared" si="0"/>
        <v>0</v>
      </c>
      <c r="H9" s="8" t="s">
        <v>61</v>
      </c>
      <c r="I9" s="11"/>
    </row>
    <row r="10" spans="1:9" ht="141.75" x14ac:dyDescent="0.2">
      <c r="A10" s="13" t="s">
        <v>62</v>
      </c>
      <c r="B10" s="14" t="s">
        <v>39</v>
      </c>
      <c r="C10" s="7">
        <v>4000</v>
      </c>
      <c r="D10" s="15"/>
      <c r="E10" s="16" t="s">
        <v>118</v>
      </c>
      <c r="F10" s="16" t="s">
        <v>118</v>
      </c>
      <c r="G10" s="15">
        <f t="shared" si="0"/>
        <v>32.258064516129032</v>
      </c>
      <c r="H10" s="17" t="s">
        <v>61</v>
      </c>
      <c r="I10" s="18"/>
    </row>
    <row r="11" spans="1:9" ht="283.5" x14ac:dyDescent="0.2">
      <c r="A11" s="13" t="s">
        <v>22</v>
      </c>
      <c r="B11" s="14" t="s">
        <v>39</v>
      </c>
      <c r="C11" s="7"/>
      <c r="D11" s="15"/>
      <c r="E11" s="15"/>
      <c r="F11" s="7"/>
      <c r="G11" s="15">
        <f t="shared" si="0"/>
        <v>0</v>
      </c>
      <c r="H11" s="17" t="s">
        <v>61</v>
      </c>
      <c r="I11" s="18"/>
    </row>
    <row r="12" spans="1:9" ht="222.75" x14ac:dyDescent="0.2">
      <c r="A12" s="9" t="s">
        <v>154</v>
      </c>
      <c r="B12" s="6" t="s">
        <v>157</v>
      </c>
      <c r="C12" s="19">
        <f>200*124</f>
        <v>24800</v>
      </c>
      <c r="D12" s="10"/>
      <c r="E12" s="10"/>
      <c r="F12" s="19">
        <f>150*124</f>
        <v>18600</v>
      </c>
      <c r="G12" s="10">
        <f t="shared" si="0"/>
        <v>200</v>
      </c>
      <c r="H12" s="8" t="s">
        <v>61</v>
      </c>
      <c r="I12" s="11"/>
    </row>
    <row r="13" spans="1:9" ht="384.75" x14ac:dyDescent="0.2">
      <c r="A13" s="9" t="s">
        <v>55</v>
      </c>
      <c r="B13" s="6" t="s">
        <v>150</v>
      </c>
      <c r="C13" s="19">
        <f>124*7</f>
        <v>868</v>
      </c>
      <c r="D13" s="10"/>
      <c r="E13" s="19">
        <f>C13</f>
        <v>868</v>
      </c>
      <c r="F13" s="19">
        <f>C13</f>
        <v>868</v>
      </c>
      <c r="G13" s="10">
        <f t="shared" si="0"/>
        <v>7</v>
      </c>
      <c r="H13" s="8" t="s">
        <v>61</v>
      </c>
      <c r="I13" s="11"/>
    </row>
    <row r="14" spans="1:9" ht="182.25" x14ac:dyDescent="0.2">
      <c r="A14" s="9" t="s">
        <v>11</v>
      </c>
      <c r="B14" s="6" t="s">
        <v>101</v>
      </c>
      <c r="C14" s="10"/>
      <c r="D14" s="10"/>
      <c r="E14" s="10"/>
      <c r="F14" s="10"/>
      <c r="G14" s="10">
        <f t="shared" si="0"/>
        <v>0</v>
      </c>
      <c r="H14" s="8" t="s">
        <v>54</v>
      </c>
      <c r="I14" s="11"/>
    </row>
    <row r="15" spans="1:9" ht="60.75" x14ac:dyDescent="0.2">
      <c r="A15" s="9" t="s">
        <v>58</v>
      </c>
      <c r="B15" s="6" t="s">
        <v>39</v>
      </c>
      <c r="C15" s="10"/>
      <c r="D15" s="10"/>
      <c r="E15" s="10"/>
      <c r="F15" s="10"/>
      <c r="G15" s="10">
        <f t="shared" si="0"/>
        <v>0</v>
      </c>
      <c r="H15" s="8" t="s">
        <v>60</v>
      </c>
      <c r="I15" s="11"/>
    </row>
    <row r="16" spans="1:9" ht="162" x14ac:dyDescent="0.2">
      <c r="A16" s="9" t="s">
        <v>69</v>
      </c>
      <c r="B16" s="6" t="s">
        <v>39</v>
      </c>
      <c r="C16" s="10"/>
      <c r="D16" s="10"/>
      <c r="E16" s="10"/>
      <c r="F16" s="10"/>
      <c r="G16" s="10">
        <f t="shared" si="0"/>
        <v>0</v>
      </c>
      <c r="H16" s="8" t="s">
        <v>60</v>
      </c>
      <c r="I16" s="11"/>
    </row>
    <row r="17" spans="1:9" ht="141.75" x14ac:dyDescent="0.2">
      <c r="A17" s="9" t="s">
        <v>73</v>
      </c>
      <c r="B17" s="6" t="s">
        <v>153</v>
      </c>
      <c r="C17" s="10"/>
      <c r="D17" s="10"/>
      <c r="E17" s="10"/>
      <c r="F17" s="10"/>
      <c r="G17" s="10">
        <f t="shared" si="0"/>
        <v>0</v>
      </c>
      <c r="H17" s="8" t="s">
        <v>61</v>
      </c>
      <c r="I17" s="11"/>
    </row>
    <row r="18" spans="1:9" ht="101.25" x14ac:dyDescent="0.2">
      <c r="A18" s="9" t="s">
        <v>117</v>
      </c>
      <c r="B18" s="6" t="s">
        <v>101</v>
      </c>
      <c r="C18" s="10"/>
      <c r="D18" s="10"/>
      <c r="E18" s="10"/>
      <c r="F18" s="10"/>
      <c r="G18" s="10">
        <f t="shared" si="0"/>
        <v>0</v>
      </c>
      <c r="H18" s="8" t="s">
        <v>60</v>
      </c>
      <c r="I18" s="11"/>
    </row>
    <row r="19" spans="1:9" ht="141.75" x14ac:dyDescent="0.2">
      <c r="A19" s="9" t="s">
        <v>87</v>
      </c>
      <c r="B19" s="6" t="s">
        <v>158</v>
      </c>
      <c r="C19" s="10"/>
      <c r="D19" s="10"/>
      <c r="E19" s="10"/>
      <c r="F19" s="10"/>
      <c r="G19" s="10">
        <f t="shared" si="0"/>
        <v>0</v>
      </c>
      <c r="H19" s="8" t="s">
        <v>61</v>
      </c>
      <c r="I19" s="11"/>
    </row>
    <row r="20" spans="1:9" ht="182.25" x14ac:dyDescent="0.2">
      <c r="A20" s="9" t="s">
        <v>10</v>
      </c>
      <c r="B20" s="6" t="s">
        <v>101</v>
      </c>
      <c r="C20" s="10"/>
      <c r="D20" s="10"/>
      <c r="E20" s="10"/>
      <c r="F20" s="10"/>
      <c r="G20" s="10">
        <f t="shared" si="0"/>
        <v>0</v>
      </c>
      <c r="H20" s="8" t="s">
        <v>54</v>
      </c>
      <c r="I20" s="11"/>
    </row>
    <row r="21" spans="1:9" ht="26.25" x14ac:dyDescent="0.2">
      <c r="A21" s="5" t="s">
        <v>98</v>
      </c>
      <c r="B21" s="6"/>
      <c r="C21" s="7">
        <f>SUM(C22:C23)</f>
        <v>4353</v>
      </c>
      <c r="D21" s="7">
        <f>SUM(D22:D23)</f>
        <v>0</v>
      </c>
      <c r="E21" s="7">
        <f>SUM(E22:E23)</f>
        <v>4353</v>
      </c>
      <c r="F21" s="7">
        <f>SUM(F22:F23)</f>
        <v>0</v>
      </c>
      <c r="G21" s="10">
        <f t="shared" si="0"/>
        <v>35.104838709677416</v>
      </c>
      <c r="H21" s="8"/>
      <c r="I21" s="8"/>
    </row>
    <row r="22" spans="1:9" ht="222.75" x14ac:dyDescent="0.2">
      <c r="A22" s="9" t="s">
        <v>82</v>
      </c>
      <c r="B22" s="6" t="s">
        <v>116</v>
      </c>
      <c r="C22" s="19">
        <f>'Gouttieres OK'!B3</f>
        <v>4353</v>
      </c>
      <c r="D22" s="10"/>
      <c r="E22" s="19">
        <f>C22</f>
        <v>4353</v>
      </c>
      <c r="F22" s="19"/>
      <c r="G22" s="10">
        <f t="shared" si="0"/>
        <v>35.104838709677416</v>
      </c>
      <c r="H22" s="8" t="s">
        <v>61</v>
      </c>
      <c r="I22" s="11"/>
    </row>
    <row r="23" spans="1:9" ht="81" x14ac:dyDescent="0.2">
      <c r="A23" s="9" t="s">
        <v>33</v>
      </c>
      <c r="B23" s="6" t="s">
        <v>39</v>
      </c>
      <c r="C23" s="10"/>
      <c r="D23" s="10"/>
      <c r="E23" s="10"/>
      <c r="F23" s="10"/>
      <c r="G23" s="10">
        <f t="shared" si="0"/>
        <v>0</v>
      </c>
      <c r="H23" s="8" t="s">
        <v>60</v>
      </c>
      <c r="I23" s="11"/>
    </row>
    <row r="24" spans="1:9" ht="26.25" x14ac:dyDescent="0.2">
      <c r="A24" s="5" t="s">
        <v>134</v>
      </c>
      <c r="B24" s="6"/>
      <c r="C24" s="7">
        <f>SUM(C25:C28)</f>
        <v>4368.28</v>
      </c>
      <c r="D24" s="7">
        <f>SUM(D25:D28)</f>
        <v>0</v>
      </c>
      <c r="E24" s="7">
        <f>SUM(E25:E28)</f>
        <v>3468.2799999999997</v>
      </c>
      <c r="F24" s="7">
        <f>SUM(F25:F28)</f>
        <v>0</v>
      </c>
      <c r="G24" s="10">
        <f t="shared" si="0"/>
        <v>35.228064516129031</v>
      </c>
      <c r="H24" s="8"/>
      <c r="I24" s="8"/>
    </row>
    <row r="25" spans="1:9" ht="222.75" x14ac:dyDescent="0.2">
      <c r="A25" s="12" t="s">
        <v>20</v>
      </c>
      <c r="B25" s="6" t="s">
        <v>53</v>
      </c>
      <c r="C25" s="19">
        <f>'Marquage OK'!B4+Maconnerie!D3</f>
        <v>2248.5299999999997</v>
      </c>
      <c r="D25" s="19"/>
      <c r="E25" s="19">
        <f>C25</f>
        <v>2248.5299999999997</v>
      </c>
      <c r="F25" s="10"/>
      <c r="G25" s="10">
        <f t="shared" si="0"/>
        <v>18.133306451612903</v>
      </c>
      <c r="H25" s="8" t="s">
        <v>61</v>
      </c>
      <c r="I25" s="11"/>
    </row>
    <row r="26" spans="1:9" ht="324" x14ac:dyDescent="0.2">
      <c r="A26" s="9" t="s">
        <v>171</v>
      </c>
      <c r="B26" s="6" t="s">
        <v>35</v>
      </c>
      <c r="C26" s="19">
        <f>+'Marquage OK'!C4+Maconnerie!C3</f>
        <v>1219.75</v>
      </c>
      <c r="D26" s="10"/>
      <c r="E26" s="19">
        <f>C26</f>
        <v>1219.75</v>
      </c>
      <c r="F26" s="19"/>
      <c r="G26" s="10">
        <f t="shared" si="0"/>
        <v>9.8366935483870961</v>
      </c>
      <c r="H26" s="8" t="s">
        <v>61</v>
      </c>
      <c r="I26" s="11"/>
    </row>
    <row r="27" spans="1:9" ht="81" x14ac:dyDescent="0.2">
      <c r="A27" s="9" t="s">
        <v>107</v>
      </c>
      <c r="B27" s="6" t="s">
        <v>151</v>
      </c>
      <c r="C27" s="20">
        <v>900</v>
      </c>
      <c r="D27" s="21" t="s">
        <v>118</v>
      </c>
      <c r="E27" s="21" t="s">
        <v>118</v>
      </c>
      <c r="F27" s="21" t="s">
        <v>118</v>
      </c>
      <c r="G27" s="10">
        <f t="shared" si="0"/>
        <v>7.258064516129032</v>
      </c>
      <c r="H27" s="8" t="s">
        <v>60</v>
      </c>
      <c r="I27" s="11"/>
    </row>
    <row r="28" spans="1:9" ht="141.75" x14ac:dyDescent="0.2">
      <c r="A28" s="9" t="s">
        <v>166</v>
      </c>
      <c r="B28" s="6" t="s">
        <v>39</v>
      </c>
      <c r="C28" s="10"/>
      <c r="D28" s="10"/>
      <c r="E28" s="10"/>
      <c r="F28" s="10"/>
      <c r="G28" s="10">
        <f t="shared" si="0"/>
        <v>0</v>
      </c>
      <c r="H28" s="8" t="s">
        <v>60</v>
      </c>
      <c r="I28" s="11"/>
    </row>
    <row r="29" spans="1:9" ht="26.25" x14ac:dyDescent="0.2">
      <c r="A29" s="5" t="s">
        <v>143</v>
      </c>
      <c r="B29" s="22"/>
      <c r="C29" s="7">
        <f>SUM(C30:C38)</f>
        <v>12686.975</v>
      </c>
      <c r="D29" s="7">
        <f>SUM(D30:D38)</f>
        <v>0</v>
      </c>
      <c r="E29" s="7">
        <f>SUM(E30:E38)</f>
        <v>8594.9750000000004</v>
      </c>
      <c r="F29" s="7">
        <f>SUM(F30:F38)</f>
        <v>1451</v>
      </c>
      <c r="G29" s="10">
        <f t="shared" si="0"/>
        <v>102.31431451612903</v>
      </c>
      <c r="H29" s="8"/>
      <c r="I29" s="11"/>
    </row>
    <row r="30" spans="1:9" ht="162" x14ac:dyDescent="0.2">
      <c r="A30" s="9" t="s">
        <v>131</v>
      </c>
      <c r="B30" s="6" t="s">
        <v>177</v>
      </c>
      <c r="C30" s="20">
        <f>+'Local poubelle OK'!D4</f>
        <v>873</v>
      </c>
      <c r="D30" s="10"/>
      <c r="E30" s="21" t="s">
        <v>118</v>
      </c>
      <c r="F30" s="10"/>
      <c r="G30" s="10">
        <f t="shared" si="0"/>
        <v>7.040322580645161</v>
      </c>
      <c r="H30" s="8" t="s">
        <v>60</v>
      </c>
      <c r="I30" s="11"/>
    </row>
    <row r="31" spans="1:9" ht="141.75" x14ac:dyDescent="0.2">
      <c r="A31" s="9" t="s">
        <v>27</v>
      </c>
      <c r="B31" s="6" t="s">
        <v>99</v>
      </c>
      <c r="C31" s="19">
        <f>+'Marquage OK'!D4</f>
        <v>2895.9749999999999</v>
      </c>
      <c r="D31" s="19"/>
      <c r="E31" s="19">
        <f>C31</f>
        <v>2895.9749999999999</v>
      </c>
      <c r="F31" s="19"/>
      <c r="G31" s="10">
        <f t="shared" si="0"/>
        <v>23.354637096774194</v>
      </c>
      <c r="H31" s="8" t="s">
        <v>61</v>
      </c>
      <c r="I31" s="11"/>
    </row>
    <row r="32" spans="1:9" ht="283.5" x14ac:dyDescent="0.2">
      <c r="A32" s="12" t="s">
        <v>94</v>
      </c>
      <c r="B32" s="6" t="s">
        <v>132</v>
      </c>
      <c r="C32" s="19">
        <f>+'Bac à sable OK'!B5</f>
        <v>4248</v>
      </c>
      <c r="D32" s="19"/>
      <c r="E32" s="19">
        <f>C32</f>
        <v>4248</v>
      </c>
      <c r="F32" s="19"/>
      <c r="G32" s="10">
        <f t="shared" si="0"/>
        <v>34.258064516129032</v>
      </c>
      <c r="H32" s="8" t="s">
        <v>61</v>
      </c>
      <c r="I32" s="11"/>
    </row>
    <row r="33" spans="1:9" ht="202.5" x14ac:dyDescent="0.2">
      <c r="A33" s="12" t="s">
        <v>21</v>
      </c>
      <c r="B33" s="6" t="s">
        <v>172</v>
      </c>
      <c r="C33" s="19">
        <f>+'Bac à sable OK'!C5</f>
        <v>1451</v>
      </c>
      <c r="D33" s="19"/>
      <c r="E33" s="19">
        <f>+C33</f>
        <v>1451</v>
      </c>
      <c r="F33" s="19">
        <f>+C33</f>
        <v>1451</v>
      </c>
      <c r="G33" s="10">
        <f t="shared" si="0"/>
        <v>11.701612903225806</v>
      </c>
      <c r="H33" s="8" t="s">
        <v>60</v>
      </c>
      <c r="I33" s="11"/>
    </row>
    <row r="34" spans="1:9" ht="243" x14ac:dyDescent="0.2">
      <c r="A34" s="12" t="s">
        <v>120</v>
      </c>
      <c r="B34" s="6" t="s">
        <v>84</v>
      </c>
      <c r="C34" s="20">
        <f>Tuyaux!C2</f>
        <v>1419</v>
      </c>
      <c r="D34" s="10"/>
      <c r="E34" s="21" t="s">
        <v>118</v>
      </c>
      <c r="F34" s="21" t="s">
        <v>118</v>
      </c>
      <c r="G34" s="10">
        <f t="shared" si="0"/>
        <v>11.443548387096774</v>
      </c>
      <c r="H34" s="8" t="s">
        <v>61</v>
      </c>
      <c r="I34" s="11"/>
    </row>
    <row r="35" spans="1:9" ht="243" x14ac:dyDescent="0.2">
      <c r="A35" s="23" t="s">
        <v>63</v>
      </c>
      <c r="B35" s="14" t="s">
        <v>83</v>
      </c>
      <c r="C35" s="24" t="s">
        <v>152</v>
      </c>
      <c r="D35" s="15"/>
      <c r="E35" s="16"/>
      <c r="F35" s="16" t="s">
        <v>118</v>
      </c>
      <c r="G35" s="15"/>
      <c r="H35" s="17" t="s">
        <v>61</v>
      </c>
      <c r="I35" s="11"/>
    </row>
    <row r="36" spans="1:9" ht="141.75" x14ac:dyDescent="0.2">
      <c r="A36" s="9" t="s">
        <v>113</v>
      </c>
      <c r="B36" s="6" t="s">
        <v>97</v>
      </c>
      <c r="C36" s="10"/>
      <c r="D36" s="10"/>
      <c r="E36" s="10"/>
      <c r="F36" s="10"/>
      <c r="G36" s="10">
        <f t="shared" ref="G36:G67" si="1">+C36/124</f>
        <v>0</v>
      </c>
      <c r="H36" s="8" t="s">
        <v>54</v>
      </c>
      <c r="I36" s="11"/>
    </row>
    <row r="37" spans="1:9" ht="121.5" x14ac:dyDescent="0.2">
      <c r="A37" s="9" t="s">
        <v>13</v>
      </c>
      <c r="B37" s="6" t="s">
        <v>56</v>
      </c>
      <c r="C37" s="20">
        <v>800</v>
      </c>
      <c r="D37" s="10"/>
      <c r="E37" s="21" t="s">
        <v>118</v>
      </c>
      <c r="F37" s="21" t="s">
        <v>118</v>
      </c>
      <c r="G37" s="10">
        <f t="shared" si="1"/>
        <v>6.4516129032258061</v>
      </c>
      <c r="H37" s="8" t="s">
        <v>60</v>
      </c>
      <c r="I37" s="11"/>
    </row>
    <row r="38" spans="1:9" ht="101.25" x14ac:dyDescent="0.2">
      <c r="A38" s="9" t="s">
        <v>105</v>
      </c>
      <c r="B38" s="6" t="s">
        <v>56</v>
      </c>
      <c r="C38" s="20">
        <v>1000</v>
      </c>
      <c r="D38" s="10">
        <v>0</v>
      </c>
      <c r="E38" s="21" t="s">
        <v>118</v>
      </c>
      <c r="F38" s="21" t="s">
        <v>118</v>
      </c>
      <c r="G38" s="10">
        <f t="shared" si="1"/>
        <v>8.064516129032258</v>
      </c>
      <c r="H38" s="8" t="s">
        <v>60</v>
      </c>
      <c r="I38" s="11"/>
    </row>
    <row r="39" spans="1:9" ht="26.25" x14ac:dyDescent="0.2">
      <c r="A39" s="5" t="s">
        <v>37</v>
      </c>
      <c r="B39" s="6"/>
      <c r="C39" s="7">
        <f>SUM(C40:C47)</f>
        <v>17093.325000000001</v>
      </c>
      <c r="D39" s="7">
        <f>SUM(D40:D47)</f>
        <v>0</v>
      </c>
      <c r="E39" s="7">
        <f>SUM(E40:E47)</f>
        <v>11065.3</v>
      </c>
      <c r="F39" s="7">
        <f>SUM(F40:F47)</f>
        <v>5528.0249999999996</v>
      </c>
      <c r="G39" s="10">
        <f t="shared" si="1"/>
        <v>137.84939516129032</v>
      </c>
      <c r="H39" s="8"/>
      <c r="I39" s="8"/>
    </row>
    <row r="40" spans="1:9" ht="141.75" x14ac:dyDescent="0.2">
      <c r="A40" s="13" t="s">
        <v>76</v>
      </c>
      <c r="B40" s="14" t="s">
        <v>137</v>
      </c>
      <c r="C40" s="24">
        <f>'Local poubelle OK'!E2</f>
        <v>2370.585</v>
      </c>
      <c r="D40" s="15"/>
      <c r="E40" s="15"/>
      <c r="F40" s="7">
        <f>C40</f>
        <v>2370.585</v>
      </c>
      <c r="G40" s="15">
        <f t="shared" si="1"/>
        <v>19.117620967741935</v>
      </c>
      <c r="H40" s="17" t="s">
        <v>61</v>
      </c>
      <c r="I40" s="18"/>
    </row>
    <row r="41" spans="1:9" ht="202.5" x14ac:dyDescent="0.2">
      <c r="A41" s="9" t="s">
        <v>50</v>
      </c>
      <c r="B41" s="6" t="s">
        <v>34</v>
      </c>
      <c r="C41" s="19">
        <f>'Marquage OK'!E4</f>
        <v>485.29999999999995</v>
      </c>
      <c r="D41" s="19"/>
      <c r="E41" s="19">
        <f>C41</f>
        <v>485.29999999999995</v>
      </c>
      <c r="F41" s="19"/>
      <c r="G41" s="10">
        <f t="shared" si="1"/>
        <v>3.9137096774193543</v>
      </c>
      <c r="H41" s="8" t="s">
        <v>61</v>
      </c>
      <c r="I41" s="11"/>
    </row>
    <row r="42" spans="1:9" ht="222.75" x14ac:dyDescent="0.2">
      <c r="A42" s="9" t="s">
        <v>1</v>
      </c>
      <c r="B42" s="6" t="s">
        <v>175</v>
      </c>
      <c r="C42" s="19">
        <f>Maconnerie!E3</f>
        <v>6718</v>
      </c>
      <c r="D42" s="19"/>
      <c r="E42" s="19">
        <f>C42</f>
        <v>6718</v>
      </c>
      <c r="F42" s="10"/>
      <c r="G42" s="10">
        <f t="shared" si="1"/>
        <v>54.177419354838712</v>
      </c>
      <c r="H42" s="8" t="s">
        <v>61</v>
      </c>
      <c r="I42" s="11"/>
    </row>
    <row r="43" spans="1:9" ht="121.5" x14ac:dyDescent="0.2">
      <c r="A43" s="9" t="s">
        <v>168</v>
      </c>
      <c r="B43" s="6"/>
      <c r="C43" s="19"/>
      <c r="D43" s="19"/>
      <c r="E43" s="10"/>
      <c r="F43" s="19"/>
      <c r="G43" s="10">
        <f t="shared" si="1"/>
        <v>0</v>
      </c>
      <c r="H43" s="8" t="s">
        <v>60</v>
      </c>
      <c r="I43" s="11"/>
    </row>
    <row r="44" spans="1:9" ht="121.5" x14ac:dyDescent="0.2">
      <c r="A44" s="13" t="s">
        <v>7</v>
      </c>
      <c r="B44" s="14" t="s">
        <v>68</v>
      </c>
      <c r="C44" s="7">
        <f>'Bac à sable OK'!E3</f>
        <v>3157.44</v>
      </c>
      <c r="D44" s="15"/>
      <c r="E44" s="7"/>
      <c r="F44" s="7">
        <f>C44</f>
        <v>3157.44</v>
      </c>
      <c r="G44" s="15">
        <f t="shared" si="1"/>
        <v>25.463225806451614</v>
      </c>
      <c r="H44" s="17" t="s">
        <v>61</v>
      </c>
      <c r="I44" s="18"/>
    </row>
    <row r="45" spans="1:9" ht="182.25" x14ac:dyDescent="0.2">
      <c r="A45" s="12" t="s">
        <v>44</v>
      </c>
      <c r="B45" s="6" t="s">
        <v>119</v>
      </c>
      <c r="C45" s="19">
        <f>+'Bac à sable OK'!D5</f>
        <v>3270</v>
      </c>
      <c r="D45" s="10"/>
      <c r="E45" s="19">
        <f>C45</f>
        <v>3270</v>
      </c>
      <c r="F45" s="19"/>
      <c r="G45" s="10">
        <f t="shared" si="1"/>
        <v>26.370967741935484</v>
      </c>
      <c r="H45" s="8" t="s">
        <v>61</v>
      </c>
      <c r="I45" s="11"/>
    </row>
    <row r="46" spans="1:9" ht="162" x14ac:dyDescent="0.2">
      <c r="A46" s="9" t="s">
        <v>3</v>
      </c>
      <c r="B46" s="6" t="s">
        <v>39</v>
      </c>
      <c r="C46" s="20">
        <v>500</v>
      </c>
      <c r="D46" s="10"/>
      <c r="E46" s="21" t="s">
        <v>118</v>
      </c>
      <c r="F46" s="21" t="s">
        <v>118</v>
      </c>
      <c r="G46" s="10">
        <f t="shared" si="1"/>
        <v>4.032258064516129</v>
      </c>
      <c r="H46" s="8" t="s">
        <v>60</v>
      </c>
      <c r="I46" s="11"/>
    </row>
    <row r="47" spans="1:9" ht="162" x14ac:dyDescent="0.2">
      <c r="A47" s="9" t="s">
        <v>64</v>
      </c>
      <c r="B47" s="6" t="s">
        <v>75</v>
      </c>
      <c r="C47" s="20">
        <f>+Maconnerie!B6</f>
        <v>592</v>
      </c>
      <c r="D47" s="10"/>
      <c r="E47" s="19">
        <f>C47</f>
        <v>592</v>
      </c>
      <c r="F47" s="10"/>
      <c r="G47" s="10">
        <f t="shared" si="1"/>
        <v>4.774193548387097</v>
      </c>
      <c r="H47" s="8" t="s">
        <v>61</v>
      </c>
      <c r="I47" s="11"/>
    </row>
    <row r="48" spans="1:9" ht="26.25" x14ac:dyDescent="0.2">
      <c r="A48" s="5" t="s">
        <v>4</v>
      </c>
      <c r="B48" s="6"/>
      <c r="C48" s="7">
        <f>SUM(C49:C51)</f>
        <v>0</v>
      </c>
      <c r="D48" s="7">
        <f>SUM(D49:D51)</f>
        <v>0</v>
      </c>
      <c r="E48" s="7">
        <f>SUM(E49:E51)</f>
        <v>0</v>
      </c>
      <c r="F48" s="7">
        <f>SUM(F49:F51)</f>
        <v>0</v>
      </c>
      <c r="G48" s="10">
        <f t="shared" si="1"/>
        <v>0</v>
      </c>
      <c r="H48" s="8"/>
      <c r="I48" s="8"/>
    </row>
    <row r="49" spans="1:9" ht="101.25" x14ac:dyDescent="0.2">
      <c r="A49" s="9" t="s">
        <v>40</v>
      </c>
      <c r="B49" s="6" t="s">
        <v>39</v>
      </c>
      <c r="C49" s="10"/>
      <c r="D49" s="10"/>
      <c r="E49" s="10"/>
      <c r="F49" s="10"/>
      <c r="G49" s="10">
        <f t="shared" si="1"/>
        <v>0</v>
      </c>
      <c r="H49" s="8" t="s">
        <v>60</v>
      </c>
      <c r="I49" s="11"/>
    </row>
    <row r="50" spans="1:9" ht="101.25" x14ac:dyDescent="0.2">
      <c r="A50" s="9" t="s">
        <v>135</v>
      </c>
      <c r="B50" s="6" t="s">
        <v>39</v>
      </c>
      <c r="C50" s="10"/>
      <c r="D50" s="10"/>
      <c r="E50" s="10"/>
      <c r="F50" s="10"/>
      <c r="G50" s="10">
        <f t="shared" si="1"/>
        <v>0</v>
      </c>
      <c r="H50" s="8" t="s">
        <v>60</v>
      </c>
      <c r="I50" s="11"/>
    </row>
    <row r="51" spans="1:9" ht="121.5" x14ac:dyDescent="0.2">
      <c r="A51" s="9" t="s">
        <v>48</v>
      </c>
      <c r="B51" s="6" t="s">
        <v>39</v>
      </c>
      <c r="C51" s="10"/>
      <c r="D51" s="10"/>
      <c r="E51" s="10"/>
      <c r="F51" s="10"/>
      <c r="G51" s="10">
        <f t="shared" si="1"/>
        <v>0</v>
      </c>
      <c r="H51" s="8" t="s">
        <v>60</v>
      </c>
      <c r="I51" s="11"/>
    </row>
    <row r="52" spans="1:9" ht="26.25" x14ac:dyDescent="0.2">
      <c r="A52" s="5" t="s">
        <v>42</v>
      </c>
      <c r="B52" s="6"/>
      <c r="C52" s="7">
        <f>SUM(C53:C56)</f>
        <v>500</v>
      </c>
      <c r="D52" s="7">
        <f>SUM(D53:D56)</f>
        <v>0</v>
      </c>
      <c r="E52" s="7">
        <f>SUM(E53:E56)</f>
        <v>0</v>
      </c>
      <c r="F52" s="7">
        <f>SUM(F53:F56)</f>
        <v>0</v>
      </c>
      <c r="G52" s="10">
        <f t="shared" si="1"/>
        <v>4.032258064516129</v>
      </c>
      <c r="H52" s="8"/>
      <c r="I52" s="8"/>
    </row>
    <row r="53" spans="1:9" ht="60.75" x14ac:dyDescent="0.2">
      <c r="A53" s="9" t="s">
        <v>142</v>
      </c>
      <c r="B53" s="6" t="s">
        <v>39</v>
      </c>
      <c r="C53" s="20">
        <v>100</v>
      </c>
      <c r="D53" s="10"/>
      <c r="E53" s="10" t="s">
        <v>118</v>
      </c>
      <c r="F53" s="10" t="s">
        <v>118</v>
      </c>
      <c r="G53" s="10">
        <f t="shared" si="1"/>
        <v>0.80645161290322576</v>
      </c>
      <c r="H53" s="8" t="s">
        <v>60</v>
      </c>
      <c r="I53" s="11"/>
    </row>
    <row r="54" spans="1:9" ht="81" x14ac:dyDescent="0.2">
      <c r="A54" s="9" t="s">
        <v>165</v>
      </c>
      <c r="B54" s="6" t="s">
        <v>39</v>
      </c>
      <c r="C54" s="20">
        <v>100</v>
      </c>
      <c r="D54" s="10"/>
      <c r="E54" s="10" t="s">
        <v>118</v>
      </c>
      <c r="F54" s="10" t="s">
        <v>118</v>
      </c>
      <c r="G54" s="10">
        <f t="shared" si="1"/>
        <v>0.80645161290322576</v>
      </c>
      <c r="H54" s="8" t="s">
        <v>60</v>
      </c>
      <c r="I54" s="11"/>
    </row>
    <row r="55" spans="1:9" ht="81" x14ac:dyDescent="0.2">
      <c r="A55" s="9" t="s">
        <v>180</v>
      </c>
      <c r="B55" s="6" t="s">
        <v>39</v>
      </c>
      <c r="C55" s="20">
        <v>100</v>
      </c>
      <c r="D55" s="10"/>
      <c r="E55" s="10" t="s">
        <v>118</v>
      </c>
      <c r="F55" s="10" t="s">
        <v>118</v>
      </c>
      <c r="G55" s="10">
        <f t="shared" si="1"/>
        <v>0.80645161290322576</v>
      </c>
      <c r="H55" s="8" t="s">
        <v>60</v>
      </c>
      <c r="I55" s="11"/>
    </row>
    <row r="56" spans="1:9" ht="101.25" x14ac:dyDescent="0.2">
      <c r="A56" s="9" t="s">
        <v>95</v>
      </c>
      <c r="B56" s="6" t="s">
        <v>39</v>
      </c>
      <c r="C56" s="20">
        <v>200</v>
      </c>
      <c r="D56" s="10"/>
      <c r="E56" s="10" t="s">
        <v>118</v>
      </c>
      <c r="F56" s="10" t="s">
        <v>118</v>
      </c>
      <c r="G56" s="10">
        <f t="shared" si="1"/>
        <v>1.6129032258064515</v>
      </c>
      <c r="H56" s="8" t="s">
        <v>60</v>
      </c>
      <c r="I56" s="11"/>
    </row>
    <row r="57" spans="1:9" ht="26.25" x14ac:dyDescent="0.2">
      <c r="A57" s="5" t="s">
        <v>169</v>
      </c>
      <c r="B57" s="6"/>
      <c r="C57" s="7">
        <f>SUM(C58:C63)</f>
        <v>7796</v>
      </c>
      <c r="D57" s="7">
        <f>SUM(D58:D63)</f>
        <v>0</v>
      </c>
      <c r="E57" s="7">
        <f>SUM(E58:E63)</f>
        <v>2296</v>
      </c>
      <c r="F57" s="7">
        <f>SUM(F58:F63)</f>
        <v>0</v>
      </c>
      <c r="G57" s="10">
        <f t="shared" si="1"/>
        <v>62.87096774193548</v>
      </c>
      <c r="H57" s="8"/>
      <c r="I57" s="8"/>
    </row>
    <row r="58" spans="1:9" ht="101.25" x14ac:dyDescent="0.2">
      <c r="A58" s="9" t="s">
        <v>18</v>
      </c>
      <c r="B58" s="6"/>
      <c r="C58" s="20">
        <v>3500</v>
      </c>
      <c r="D58" s="10"/>
      <c r="E58" s="10" t="s">
        <v>118</v>
      </c>
      <c r="F58" s="10" t="s">
        <v>118</v>
      </c>
      <c r="G58" s="10">
        <f t="shared" si="1"/>
        <v>28.225806451612904</v>
      </c>
      <c r="H58" s="8" t="s">
        <v>60</v>
      </c>
      <c r="I58" s="11"/>
    </row>
    <row r="59" spans="1:9" ht="121.5" x14ac:dyDescent="0.2">
      <c r="A59" s="9" t="s">
        <v>170</v>
      </c>
      <c r="B59" s="6" t="s">
        <v>56</v>
      </c>
      <c r="C59" s="10"/>
      <c r="D59" s="10"/>
      <c r="E59" s="10"/>
      <c r="F59" s="10"/>
      <c r="G59" s="10">
        <f t="shared" si="1"/>
        <v>0</v>
      </c>
      <c r="H59" s="8" t="s">
        <v>60</v>
      </c>
      <c r="I59" s="11"/>
    </row>
    <row r="60" spans="1:9" ht="364.5" x14ac:dyDescent="0.2">
      <c r="A60" s="9" t="s">
        <v>115</v>
      </c>
      <c r="B60" s="6" t="s">
        <v>39</v>
      </c>
      <c r="C60" s="10">
        <v>0</v>
      </c>
      <c r="D60" s="10"/>
      <c r="E60" s="10">
        <v>0</v>
      </c>
      <c r="F60" s="10">
        <v>0</v>
      </c>
      <c r="G60" s="10">
        <f t="shared" si="1"/>
        <v>0</v>
      </c>
      <c r="H60" s="8" t="s">
        <v>61</v>
      </c>
      <c r="I60" s="11"/>
    </row>
    <row r="61" spans="1:9" ht="162" x14ac:dyDescent="0.2">
      <c r="A61" s="9" t="s">
        <v>130</v>
      </c>
      <c r="B61" s="6" t="s">
        <v>79</v>
      </c>
      <c r="C61" s="19">
        <f>+pelouse!C3</f>
        <v>2296</v>
      </c>
      <c r="D61" s="19"/>
      <c r="E61" s="19">
        <f>+C61</f>
        <v>2296</v>
      </c>
      <c r="F61" s="19">
        <v>0</v>
      </c>
      <c r="G61" s="10">
        <f t="shared" si="1"/>
        <v>18.516129032258064</v>
      </c>
      <c r="H61" s="8" t="s">
        <v>61</v>
      </c>
      <c r="I61" s="11"/>
    </row>
    <row r="62" spans="1:9" ht="243" x14ac:dyDescent="0.2">
      <c r="A62" s="9" t="s">
        <v>15</v>
      </c>
      <c r="B62" s="25" t="s">
        <v>39</v>
      </c>
      <c r="C62" s="20">
        <v>2000</v>
      </c>
      <c r="D62" s="10" t="s">
        <v>118</v>
      </c>
      <c r="E62" s="10" t="s">
        <v>118</v>
      </c>
      <c r="F62" s="10" t="s">
        <v>118</v>
      </c>
      <c r="G62" s="21">
        <f t="shared" si="1"/>
        <v>16.129032258064516</v>
      </c>
      <c r="H62" s="26" t="s">
        <v>54</v>
      </c>
      <c r="I62" s="27"/>
    </row>
    <row r="63" spans="1:9" ht="121.5" x14ac:dyDescent="0.2">
      <c r="A63" s="9" t="s">
        <v>32</v>
      </c>
      <c r="B63" s="6" t="s">
        <v>56</v>
      </c>
      <c r="C63" s="10"/>
      <c r="D63" s="10"/>
      <c r="E63" s="10"/>
      <c r="F63" s="10"/>
      <c r="G63" s="10">
        <f t="shared" si="1"/>
        <v>0</v>
      </c>
      <c r="H63" s="8" t="s">
        <v>60</v>
      </c>
      <c r="I63" s="11"/>
    </row>
    <row r="64" spans="1:9" ht="26.25" x14ac:dyDescent="0.2">
      <c r="A64" s="5" t="s">
        <v>155</v>
      </c>
      <c r="B64" s="6"/>
      <c r="C64" s="7">
        <f>SUM(C65)</f>
        <v>0</v>
      </c>
      <c r="D64" s="7">
        <f>SUM(D65)</f>
        <v>0</v>
      </c>
      <c r="E64" s="7">
        <f>SUM(E65)</f>
        <v>0</v>
      </c>
      <c r="F64" s="7">
        <f>SUM(F65)</f>
        <v>0</v>
      </c>
      <c r="G64" s="10">
        <f t="shared" si="1"/>
        <v>0</v>
      </c>
      <c r="H64" s="8"/>
      <c r="I64" s="8"/>
    </row>
    <row r="65" spans="1:9" ht="20.25" x14ac:dyDescent="0.2">
      <c r="A65" s="9"/>
      <c r="B65" s="6"/>
      <c r="C65" s="10"/>
      <c r="D65" s="10"/>
      <c r="E65" s="10"/>
      <c r="F65" s="10"/>
      <c r="G65" s="10">
        <f t="shared" si="1"/>
        <v>0</v>
      </c>
      <c r="H65" s="8"/>
      <c r="I65" s="11"/>
    </row>
    <row r="66" spans="1:9" ht="26.25" x14ac:dyDescent="0.25">
      <c r="A66" s="28"/>
      <c r="B66" s="28"/>
      <c r="C66" s="29"/>
      <c r="D66" s="29">
        <f>SUM(D2:D65)/2</f>
        <v>0</v>
      </c>
      <c r="E66" s="29">
        <f>SUM(E2:E65)/2</f>
        <v>30645.555</v>
      </c>
      <c r="F66" s="29">
        <f>SUM(F2:F65)/2</f>
        <v>26447.025000000001</v>
      </c>
      <c r="G66" s="29">
        <f t="shared" si="1"/>
        <v>0</v>
      </c>
      <c r="H66" s="30"/>
      <c r="I66" s="28"/>
    </row>
    <row r="67" spans="1:9" ht="69" x14ac:dyDescent="0.2">
      <c r="A67" s="31" t="s">
        <v>111</v>
      </c>
      <c r="B67" s="32" t="s">
        <v>156</v>
      </c>
      <c r="C67" s="29">
        <f>C66/124</f>
        <v>0</v>
      </c>
      <c r="D67" s="29">
        <f>D66/124</f>
        <v>0</v>
      </c>
      <c r="E67" s="29">
        <f>E66/124</f>
        <v>247.14157258064517</v>
      </c>
      <c r="F67" s="29">
        <f>F66/124</f>
        <v>213.28245967741935</v>
      </c>
      <c r="G67" s="29">
        <f t="shared" si="1"/>
        <v>0</v>
      </c>
      <c r="H67" s="8"/>
      <c r="I67" s="11"/>
    </row>
    <row r="68" spans="1:9" ht="55.5" x14ac:dyDescent="0.25">
      <c r="A68" s="33" t="s">
        <v>123</v>
      </c>
      <c r="B68" s="28"/>
      <c r="C68" s="34" t="s">
        <v>149</v>
      </c>
      <c r="D68" s="34" t="s">
        <v>136</v>
      </c>
      <c r="E68" s="34" t="s">
        <v>140</v>
      </c>
      <c r="F68" s="34" t="s">
        <v>141</v>
      </c>
      <c r="G68" s="35"/>
      <c r="H68" s="30"/>
      <c r="I68" s="28"/>
    </row>
    <row r="69" spans="1:9" ht="141.75" x14ac:dyDescent="0.25">
      <c r="A69" s="5" t="s">
        <v>114</v>
      </c>
      <c r="B69" s="36" t="s">
        <v>81</v>
      </c>
      <c r="C69" s="19" t="s">
        <v>72</v>
      </c>
      <c r="D69" s="19" t="s">
        <v>52</v>
      </c>
      <c r="E69" s="19" t="s">
        <v>112</v>
      </c>
      <c r="F69" s="19" t="e">
        <f t="shared" ref="F69:F74" si="2">+E69*1.02</f>
        <v>#VALUE!</v>
      </c>
      <c r="G69" s="19" t="e">
        <f t="shared" ref="G69:G76" si="3">+C69/124</f>
        <v>#VALUE!</v>
      </c>
      <c r="H69" s="30"/>
      <c r="I69" s="28"/>
    </row>
    <row r="70" spans="1:9" ht="202.5" x14ac:dyDescent="0.25">
      <c r="A70" s="5" t="s">
        <v>148</v>
      </c>
      <c r="B70" s="37"/>
      <c r="C70" s="19" t="s">
        <v>59</v>
      </c>
      <c r="D70" s="19" t="s">
        <v>26</v>
      </c>
      <c r="E70" s="19" t="s">
        <v>110</v>
      </c>
      <c r="F70" s="19" t="e">
        <f t="shared" si="2"/>
        <v>#VALUE!</v>
      </c>
      <c r="G70" s="19" t="e">
        <f t="shared" si="3"/>
        <v>#VALUE!</v>
      </c>
      <c r="H70" s="30"/>
      <c r="I70" s="28"/>
    </row>
    <row r="71" spans="1:9" ht="409.5" x14ac:dyDescent="0.25">
      <c r="A71" s="5" t="s">
        <v>0</v>
      </c>
      <c r="B71" s="37"/>
      <c r="C71" s="19" t="s">
        <v>138</v>
      </c>
      <c r="D71" s="19" t="s">
        <v>96</v>
      </c>
      <c r="E71" s="19" t="s">
        <v>51</v>
      </c>
      <c r="F71" s="19" t="e">
        <f t="shared" si="2"/>
        <v>#VALUE!</v>
      </c>
      <c r="G71" s="19" t="e">
        <f t="shared" si="3"/>
        <v>#VALUE!</v>
      </c>
      <c r="H71" s="30"/>
      <c r="I71" s="28"/>
    </row>
    <row r="72" spans="1:9" ht="409.5" x14ac:dyDescent="0.25">
      <c r="A72" s="5" t="s">
        <v>164</v>
      </c>
      <c r="B72" s="37"/>
      <c r="C72" s="19" t="s">
        <v>173</v>
      </c>
      <c r="D72" s="19" t="s">
        <v>19</v>
      </c>
      <c r="E72" s="19" t="s">
        <v>90</v>
      </c>
      <c r="F72" s="19" t="e">
        <f t="shared" si="2"/>
        <v>#VALUE!</v>
      </c>
      <c r="G72" s="19" t="e">
        <f t="shared" si="3"/>
        <v>#VALUE!</v>
      </c>
      <c r="H72" s="30"/>
      <c r="I72" s="28"/>
    </row>
    <row r="73" spans="1:9" ht="409.5" x14ac:dyDescent="0.25">
      <c r="A73" s="5" t="s">
        <v>102</v>
      </c>
      <c r="B73" s="37"/>
      <c r="C73" s="19" t="s">
        <v>108</v>
      </c>
      <c r="D73" s="19" t="s">
        <v>122</v>
      </c>
      <c r="E73" s="19" t="s">
        <v>181</v>
      </c>
      <c r="F73" s="19" t="e">
        <f t="shared" si="2"/>
        <v>#VALUE!</v>
      </c>
      <c r="G73" s="19" t="e">
        <f t="shared" si="3"/>
        <v>#VALUE!</v>
      </c>
      <c r="H73" s="30"/>
      <c r="I73" s="28"/>
    </row>
    <row r="74" spans="1:9" ht="141.75" x14ac:dyDescent="0.25">
      <c r="A74" s="5" t="s">
        <v>86</v>
      </c>
      <c r="B74" s="37"/>
      <c r="C74" s="19" t="s">
        <v>125</v>
      </c>
      <c r="D74" s="19" t="s">
        <v>70</v>
      </c>
      <c r="E74" s="19" t="s">
        <v>174</v>
      </c>
      <c r="F74" s="19" t="e">
        <f t="shared" si="2"/>
        <v>#VALUE!</v>
      </c>
      <c r="G74" s="19" t="e">
        <f t="shared" si="3"/>
        <v>#VALUE!</v>
      </c>
      <c r="H74" s="30"/>
      <c r="I74" s="28"/>
    </row>
    <row r="75" spans="1:9" ht="202.5" x14ac:dyDescent="0.25">
      <c r="A75" s="5" t="s">
        <v>31</v>
      </c>
      <c r="B75" s="37"/>
      <c r="C75" s="19" t="s">
        <v>121</v>
      </c>
      <c r="D75" s="19" t="s">
        <v>12</v>
      </c>
      <c r="E75" s="19" t="s">
        <v>147</v>
      </c>
      <c r="F75" s="19" t="str">
        <f>+E75</f>
        <v>=([budget_cottage_AG_2010.xls]Feuil1!R38C6+[budget_cottage_AG_2010.xls]Feuil1!R39C6)+[budget_cottage_AG_2010.xls]Feuil1!R40C6</v>
      </c>
      <c r="G75" s="19" t="e">
        <f t="shared" si="3"/>
        <v>#VALUE!</v>
      </c>
      <c r="H75" s="30"/>
      <c r="I75" s="28"/>
    </row>
    <row r="76" spans="1:9" ht="26.25" x14ac:dyDescent="0.25">
      <c r="A76" s="28"/>
      <c r="B76" s="38"/>
      <c r="C76" s="29">
        <f>SUM(C69:C75)</f>
        <v>0</v>
      </c>
      <c r="D76" s="29">
        <f>SUM(D69:D75)</f>
        <v>0</v>
      </c>
      <c r="E76" s="29">
        <f>SUM(E69:E75)</f>
        <v>0</v>
      </c>
      <c r="F76" s="29" t="e">
        <f>SUM(F69:F75)</f>
        <v>#VALUE!</v>
      </c>
      <c r="G76" s="29">
        <f t="shared" si="3"/>
        <v>0</v>
      </c>
      <c r="H76" s="30"/>
      <c r="I76" s="28"/>
    </row>
    <row r="77" spans="1:9" ht="52.5" x14ac:dyDescent="0.2">
      <c r="A77" s="9"/>
      <c r="B77" s="32" t="s">
        <v>156</v>
      </c>
      <c r="C77" s="29">
        <f>C76/124</f>
        <v>0</v>
      </c>
      <c r="D77" s="29">
        <f>D76/124</f>
        <v>0</v>
      </c>
      <c r="E77" s="29">
        <f>E76/124</f>
        <v>0</v>
      </c>
      <c r="F77" s="29" t="e">
        <f>F76/124</f>
        <v>#VALUE!</v>
      </c>
      <c r="G77" s="29">
        <f>E77-C77</f>
        <v>0</v>
      </c>
      <c r="H77" s="8"/>
      <c r="I77" s="11"/>
    </row>
    <row r="78" spans="1:9" ht="70.5" x14ac:dyDescent="0.25">
      <c r="A78" s="33" t="s">
        <v>103</v>
      </c>
      <c r="B78" s="28"/>
      <c r="C78" s="39">
        <f>+C76</f>
        <v>0</v>
      </c>
      <c r="D78" s="39">
        <f>+D76+D66</f>
        <v>0</v>
      </c>
      <c r="E78" s="39">
        <f>+E76+E66</f>
        <v>30645.555</v>
      </c>
      <c r="F78" s="39" t="e">
        <f>+F76+F66</f>
        <v>#VALUE!</v>
      </c>
      <c r="G78" s="29">
        <f>+C78/124</f>
        <v>0</v>
      </c>
      <c r="H78" s="30"/>
      <c r="I78" s="28"/>
    </row>
    <row r="79" spans="1:9" ht="69" x14ac:dyDescent="0.2">
      <c r="A79" s="40" t="s">
        <v>14</v>
      </c>
      <c r="B79" s="41"/>
      <c r="C79" s="42">
        <f>C78/124</f>
        <v>0</v>
      </c>
      <c r="D79" s="42">
        <f>D78/124</f>
        <v>0</v>
      </c>
      <c r="E79" s="42">
        <f>E78/124</f>
        <v>247.14157258064517</v>
      </c>
      <c r="F79" s="42" t="e">
        <f>F78/124</f>
        <v>#VALUE!</v>
      </c>
      <c r="G79" s="42">
        <f>+E79-C79</f>
        <v>247.14157258064517</v>
      </c>
      <c r="H79" s="8"/>
      <c r="I79" s="11"/>
    </row>
    <row r="80" spans="1:9" ht="14.25" customHeight="1" x14ac:dyDescent="0.2">
      <c r="A80" s="43"/>
      <c r="B80" s="43"/>
      <c r="C80" s="43"/>
      <c r="D80" s="43"/>
      <c r="E80" s="43"/>
      <c r="F80" s="43"/>
      <c r="G80" s="43"/>
      <c r="H80" s="43"/>
      <c r="I80" s="43"/>
    </row>
    <row r="82" spans="2:2" x14ac:dyDescent="0.2">
      <c r="B82" s="44"/>
    </row>
  </sheetData>
  <pageMargins left="0.75" right="0.75" top="1" bottom="1" header="0.5" footer="0.5"/>
  <pageSetup paperSize="9" orientation="portrait" horizontalDpi="300" verticalDpi="30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baseColWidth="10" defaultColWidth="11.42578125" defaultRowHeight="14.25" customHeight="1" x14ac:dyDescent="0.2"/>
  <cols>
    <col min="1" max="6" width="11.42578125" customWidth="1"/>
  </cols>
  <sheetData>
    <row r="1" spans="1:5" x14ac:dyDescent="0.2">
      <c r="A1" s="28"/>
      <c r="B1" s="28" t="s">
        <v>126</v>
      </c>
      <c r="C1" s="28" t="s">
        <v>178</v>
      </c>
      <c r="D1" s="28"/>
      <c r="E1" s="50"/>
    </row>
    <row r="2" spans="1:5" x14ac:dyDescent="0.2">
      <c r="A2" s="28" t="s">
        <v>83</v>
      </c>
      <c r="B2" s="35">
        <v>6066</v>
      </c>
      <c r="C2" s="51">
        <v>1419</v>
      </c>
      <c r="D2" s="35">
        <f>SUM(B2:C2)</f>
        <v>7485</v>
      </c>
      <c r="E2" s="50"/>
    </row>
    <row r="3" spans="1:5" x14ac:dyDescent="0.2">
      <c r="A3" s="28" t="s">
        <v>128</v>
      </c>
      <c r="B3" s="35">
        <v>6035</v>
      </c>
      <c r="C3" s="35">
        <v>2615</v>
      </c>
      <c r="D3" s="35">
        <f>SUM(B3:C3)</f>
        <v>8650</v>
      </c>
      <c r="E3" s="50"/>
    </row>
    <row r="4" spans="1:5" x14ac:dyDescent="0.2">
      <c r="A4" s="28"/>
      <c r="B4" s="58"/>
      <c r="C4" s="58"/>
      <c r="D4" s="58">
        <f>SUM(B4:C4)</f>
        <v>0</v>
      </c>
      <c r="E4" s="50"/>
    </row>
    <row r="5" spans="1:5" x14ac:dyDescent="0.2">
      <c r="A5" s="28"/>
      <c r="B5" s="58"/>
      <c r="C5" s="58"/>
      <c r="D5" s="58">
        <f>SUM(B5:C5)</f>
        <v>0</v>
      </c>
      <c r="E5" s="50"/>
    </row>
    <row r="6" spans="1:5" ht="14.25" customHeight="1" x14ac:dyDescent="0.2">
      <c r="A6" s="43"/>
      <c r="B6" s="43"/>
      <c r="C6" s="43"/>
      <c r="D6" s="43"/>
    </row>
  </sheetData>
  <pageMargins left="0.75" right="0.75" top="1" bottom="1" header="0.5" footer="0.5"/>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heetViews>
  <sheetFormatPr baseColWidth="10" defaultColWidth="11.42578125" defaultRowHeight="14.25" customHeight="1" x14ac:dyDescent="0.2"/>
  <cols>
    <col min="1" max="1" width="15.7109375" customWidth="1"/>
    <col min="2" max="7" width="11.42578125" customWidth="1"/>
  </cols>
  <sheetData>
    <row r="1" spans="1:7" ht="15" x14ac:dyDescent="0.25">
      <c r="A1" s="30" t="s">
        <v>5</v>
      </c>
      <c r="B1" s="30" t="s">
        <v>139</v>
      </c>
      <c r="C1" s="30"/>
      <c r="D1" s="30" t="s">
        <v>149</v>
      </c>
      <c r="E1" s="28"/>
      <c r="F1" s="28"/>
      <c r="G1" s="28"/>
    </row>
    <row r="2" spans="1:7" ht="15" x14ac:dyDescent="0.25">
      <c r="A2" s="30" t="s">
        <v>114</v>
      </c>
      <c r="B2" s="45" t="str">
        <f>+'Points Ouverts AG'!D69</f>
        <v>=[budget_cottage_AG_2010.xls]Feuil1!R3C4+[budget_cottage_AG_2010.xls]Feuil1!R4C4</v>
      </c>
      <c r="C2" s="46" t="e">
        <f t="shared" ref="C2:C8" si="0">+B2/$B$9</f>
        <v>#VALUE!</v>
      </c>
      <c r="D2" s="45" t="str">
        <f>+'Points Ouverts AG'!C69</f>
        <v>=[budget_cottage_AG_2010.xls]Feuil1!R3C3+[budget_cottage_AG_2010.xls]Feuil1!R4C3</v>
      </c>
      <c r="E2" s="46" t="e">
        <f t="shared" ref="E2:E8" si="1">+D2/$D$9</f>
        <v>#VALUE!</v>
      </c>
      <c r="F2" s="28"/>
      <c r="G2" s="28"/>
    </row>
    <row r="3" spans="1:7" ht="15" x14ac:dyDescent="0.25">
      <c r="A3" s="30" t="s">
        <v>148</v>
      </c>
      <c r="B3" s="45" t="str">
        <f>+'Points Ouverts AG'!D70</f>
        <v>=(+[budget_cottage_AG_2010.xls]Feuil1!R18C4+[budget_cottage_AG_2010.xls]Feuil1!R19C4)+[budget_cottage_AG_2010.xls]Feuil1!R31C4</v>
      </c>
      <c r="C3" s="46" t="e">
        <f t="shared" si="0"/>
        <v>#VALUE!</v>
      </c>
      <c r="D3" s="45" t="str">
        <f>+'Points Ouverts AG'!C70</f>
        <v>=(+[budget_cottage_AG_2010.xls]Feuil1!R18C3+[budget_cottage_AG_2010.xls]Feuil1!R19C3)+[budget_cottage_AG_2010.xls]Feuil1!R31C3</v>
      </c>
      <c r="E3" s="46" t="e">
        <f t="shared" si="1"/>
        <v>#VALUE!</v>
      </c>
      <c r="F3" s="28" t="s">
        <v>28</v>
      </c>
      <c r="G3" s="28"/>
    </row>
    <row r="4" spans="1:7" ht="15" x14ac:dyDescent="0.25">
      <c r="A4" s="30" t="s">
        <v>0</v>
      </c>
      <c r="B4" s="45" t="str">
        <f>+'Points Ouverts AG'!D71</f>
        <v>=(((((+[budget_cottage_AG_2010.xls]Feuil1!R29C4+[budget_cottage_AG_2010.xls]Feuil1!R30C4)+[budget_cottage_AG_2010.xls]Feuil1!R32C4)+[budget_cottage_AG_2010.xls]Feuil1!R34C4)+[budget_cottage_AG_2010.xls]Feuil1!R35C4)+[budget_cottage_AG_2010.xls]Feuil1!R36C4)+[budget_cottage_AG_2010.xls]Feuil1!R37C4</v>
      </c>
      <c r="C4" s="46" t="e">
        <f t="shared" si="0"/>
        <v>#VALUE!</v>
      </c>
      <c r="D4" s="45" t="str">
        <f>+'Points Ouverts AG'!C71</f>
        <v>=(((((+[budget_cottage_AG_2010.xls]Feuil1!R29C3+[budget_cottage_AG_2010.xls]Feuil1!R30C3)+[budget_cottage_AG_2010.xls]Feuil1!R32C3)+[budget_cottage_AG_2010.xls]Feuil1!R34C3)+[budget_cottage_AG_2010.xls]Feuil1!R35C3)+[budget_cottage_AG_2010.xls]Feuil1!R36C3)+[budget_cottage_AG_2010.xls]Feuil1!R37C3</v>
      </c>
      <c r="E4" s="46" t="e">
        <f t="shared" si="1"/>
        <v>#VALUE!</v>
      </c>
      <c r="F4" s="28" t="s">
        <v>89</v>
      </c>
      <c r="G4" s="28"/>
    </row>
    <row r="5" spans="1:7" ht="15" x14ac:dyDescent="0.25">
      <c r="A5" s="30" t="s">
        <v>164</v>
      </c>
      <c r="B5" s="45">
        <v>4248</v>
      </c>
      <c r="C5" s="46">
        <f t="shared" si="0"/>
        <v>1</v>
      </c>
      <c r="D5" s="45">
        <v>3270</v>
      </c>
      <c r="E5" s="46">
        <f t="shared" si="1"/>
        <v>1</v>
      </c>
      <c r="F5" s="28" t="s">
        <v>133</v>
      </c>
      <c r="G5" s="28"/>
    </row>
    <row r="6" spans="1:7" ht="15" x14ac:dyDescent="0.25">
      <c r="A6" s="30" t="s">
        <v>102</v>
      </c>
      <c r="B6" s="45" t="str">
        <f>+'Points Ouverts AG'!D73</f>
        <v>=(((((+[budget_cottage_AG_2010.xls]Feuil1!R20C4+[budget_cottage_AG_2010.xls]Feuil1!R21C4)+[budget_cottage_AG_2010.xls]Feuil1!R23C4)+[budget_cottage_AG_2010.xls]Feuil1!R24C4)+[budget_cottage_AG_2010.xls]Feuil1!R25C4)+[budget_cottage_AG_2010.xls]Feuil1!R26C4)+[budget_cottage_AG_2010.xls]Feuil1!R28C4</v>
      </c>
      <c r="C6" s="46" t="e">
        <f t="shared" si="0"/>
        <v>#VALUE!</v>
      </c>
      <c r="D6" s="45" t="str">
        <f>+'Points Ouverts AG'!C73</f>
        <v>=((((((+[budget_cottage_AG_2010.xls]Feuil1!R20C3+[budget_cottage_AG_2010.xls]Feuil1!R21C3)+[budget_cottage_AG_2010.xls]Feuil1!R23C3)+[budget_cottage_AG_2010.xls]Feuil1!R24C3)+[budget_cottage_AG_2010.xls]Feuil1!R25C3)+[budget_cottage_AG_2010.xls]Feuil1!R26C3)+[budget_cottage_AG_2010.xls]Feuil1!R28C3)+[budget_cottage_AG_2010.xls]Feuil1!R22C3</v>
      </c>
      <c r="E6" s="46" t="e">
        <f t="shared" si="1"/>
        <v>#VALUE!</v>
      </c>
      <c r="F6" s="28"/>
      <c r="G6" s="28"/>
    </row>
    <row r="7" spans="1:7" ht="15" x14ac:dyDescent="0.25">
      <c r="A7" s="30" t="s">
        <v>86</v>
      </c>
      <c r="B7" s="45" t="str">
        <f>+'Points Ouverts AG'!D74</f>
        <v>=+[budget_cottage_AG_2010.xls]Feuil1!R9C4+[budget_cottage_AG_2010.xls]Feuil1!R10C4</v>
      </c>
      <c r="C7" s="46" t="e">
        <f t="shared" si="0"/>
        <v>#VALUE!</v>
      </c>
      <c r="D7" s="45" t="str">
        <f>+'Points Ouverts AG'!C74</f>
        <v>=+[budget_cottage_AG_2010.xls]Feuil1!R9C3+[budget_cottage_AG_2010.xls]Feuil1!R10C3</v>
      </c>
      <c r="E7" s="46" t="e">
        <f t="shared" si="1"/>
        <v>#VALUE!</v>
      </c>
      <c r="F7" s="28" t="s">
        <v>6</v>
      </c>
      <c r="G7" s="28"/>
    </row>
    <row r="8" spans="1:7" ht="15" x14ac:dyDescent="0.25">
      <c r="A8" s="30" t="s">
        <v>45</v>
      </c>
      <c r="B8" s="45" t="str">
        <f>+'Points Ouverts AG'!D75</f>
        <v>=([budget_cottage_AG_2010.xls]Feuil1!R38C4+[budget_cottage_AG_2010.xls]Feuil1!R39C4)+[budget_cottage_AG_2010.xls]Feuil1!R40C4</v>
      </c>
      <c r="C8" s="46" t="e">
        <f t="shared" si="0"/>
        <v>#VALUE!</v>
      </c>
      <c r="D8" s="45" t="str">
        <f>+'Points Ouverts AG'!C75</f>
        <v>=([budget_cottage_AG_2010.xls]Feuil1!R38C3+[budget_cottage_AG_2010.xls]Feuil1!R39C3)+[budget_cottage_AG_2010.xls]Feuil1!R40C3</v>
      </c>
      <c r="E8" s="46" t="e">
        <f t="shared" si="1"/>
        <v>#VALUE!</v>
      </c>
      <c r="F8" s="28"/>
      <c r="G8" s="28"/>
    </row>
    <row r="9" spans="1:7" ht="15" x14ac:dyDescent="0.25">
      <c r="A9" s="47" t="s">
        <v>100</v>
      </c>
      <c r="B9" s="48">
        <f>SUM(B2:B8)</f>
        <v>4248</v>
      </c>
      <c r="C9" s="30"/>
      <c r="D9" s="48">
        <f>SUM(D2:D8)</f>
        <v>3270</v>
      </c>
      <c r="E9" s="28"/>
      <c r="F9" s="28"/>
      <c r="G9" s="28"/>
    </row>
    <row r="10" spans="1:7" x14ac:dyDescent="0.2">
      <c r="A10" s="43"/>
      <c r="B10" s="43"/>
      <c r="C10" s="43"/>
      <c r="D10" s="49">
        <f>D9/124</f>
        <v>26.370967741935484</v>
      </c>
      <c r="E10" s="43"/>
      <c r="F10" s="43"/>
      <c r="G10" s="43"/>
    </row>
  </sheetData>
  <pageMargins left="0.75" right="0.75" top="1" bottom="1" header="0.5" footer="0.5"/>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2.75" customHeight="1" x14ac:dyDescent="0.2"/>
  <cols>
    <col min="1" max="6" width="9.140625" customWidth="1"/>
  </cols>
  <sheetData/>
  <pageMargins left="0.75" right="0.75" top="1" bottom="1" header="0.5" footer="0.5"/>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heetViews>
  <sheetFormatPr baseColWidth="10" defaultColWidth="11.42578125" defaultRowHeight="14.25" customHeight="1" x14ac:dyDescent="0.2"/>
  <cols>
    <col min="1" max="1" width="16.28515625" customWidth="1"/>
    <col min="2" max="2" width="12.7109375" customWidth="1"/>
    <col min="3" max="8" width="11.42578125" customWidth="1"/>
  </cols>
  <sheetData>
    <row r="1" spans="1:8" x14ac:dyDescent="0.2">
      <c r="A1" s="28"/>
      <c r="B1" s="28" t="s">
        <v>160</v>
      </c>
      <c r="C1" s="28" t="s">
        <v>109</v>
      </c>
      <c r="D1" s="28" t="s">
        <v>78</v>
      </c>
      <c r="E1" s="28" t="s">
        <v>145</v>
      </c>
      <c r="F1" s="28"/>
      <c r="G1" s="50"/>
    </row>
    <row r="2" spans="1:8" x14ac:dyDescent="0.2">
      <c r="A2" s="28" t="s">
        <v>49</v>
      </c>
      <c r="B2" s="35">
        <f>(280+6341)*1.055</f>
        <v>6985.1549999999997</v>
      </c>
      <c r="C2" s="35">
        <v>803</v>
      </c>
      <c r="D2" s="35">
        <f>(2422*1.196)*2</f>
        <v>5793.424</v>
      </c>
      <c r="E2" s="35"/>
      <c r="F2" s="35">
        <f>SUM(B2:E2)</f>
        <v>13581.579</v>
      </c>
      <c r="G2" s="50"/>
    </row>
    <row r="3" spans="1:8" x14ac:dyDescent="0.2">
      <c r="A3" s="28" t="s">
        <v>159</v>
      </c>
      <c r="B3" s="35">
        <f>+(680+3750)*1.055</f>
        <v>4673.6499999999996</v>
      </c>
      <c r="C3" s="35"/>
      <c r="D3" s="35">
        <f>4640*1.196</f>
        <v>5549.44</v>
      </c>
      <c r="E3" s="51">
        <f>+((1780+490)+370)*1.196</f>
        <v>3157.44</v>
      </c>
      <c r="F3" s="35">
        <f>SUM(B3:E3)</f>
        <v>13380.53</v>
      </c>
      <c r="G3" s="50"/>
    </row>
    <row r="4" spans="1:8" x14ac:dyDescent="0.2">
      <c r="A4" s="28" t="s">
        <v>104</v>
      </c>
      <c r="B4" s="35">
        <f>+(((13*195)+(85*3.5))+(26*225))*1.055</f>
        <v>9160.0375000000004</v>
      </c>
      <c r="C4" s="35">
        <v>8837</v>
      </c>
      <c r="D4" s="35">
        <f>+((8*452)+1450)*1.196</f>
        <v>6058.9359999999997</v>
      </c>
      <c r="E4" s="35"/>
      <c r="F4" s="35">
        <f>SUM(B4:E4)</f>
        <v>24055.9735</v>
      </c>
      <c r="G4" s="50"/>
    </row>
    <row r="5" spans="1:8" x14ac:dyDescent="0.2">
      <c r="A5" s="52" t="s">
        <v>172</v>
      </c>
      <c r="B5" s="51">
        <v>4248</v>
      </c>
      <c r="C5" s="51">
        <v>1451</v>
      </c>
      <c r="D5" s="51">
        <v>3270</v>
      </c>
      <c r="E5" s="35"/>
      <c r="F5" s="51">
        <f>SUM(B5:E5)</f>
        <v>8969</v>
      </c>
      <c r="G5" s="50"/>
      <c r="H5" s="53">
        <f>D5/8</f>
        <v>408.75</v>
      </c>
    </row>
    <row r="6" spans="1:8" ht="14.25" customHeight="1" x14ac:dyDescent="0.2">
      <c r="A6" s="54"/>
      <c r="B6" s="54"/>
      <c r="C6" s="54"/>
      <c r="D6" s="54"/>
      <c r="E6" s="54"/>
      <c r="F6" s="54"/>
    </row>
    <row r="7" spans="1:8" x14ac:dyDescent="0.2">
      <c r="A7" s="28"/>
      <c r="B7" s="28" t="str">
        <f>'Marquage OK'!B1</f>
        <v>pompier</v>
      </c>
      <c r="C7" s="28" t="str">
        <f>'Marquage OK'!C1</f>
        <v>entrée</v>
      </c>
      <c r="D7" s="28" t="str">
        <f>'Marquage OK'!D1</f>
        <v>marquage</v>
      </c>
      <c r="E7" s="28" t="str">
        <f>'Marquage OK'!E1</f>
        <v>handicape</v>
      </c>
      <c r="F7" s="55">
        <f>'Marquage OK'!F1</f>
        <v>0</v>
      </c>
      <c r="G7" s="50"/>
    </row>
    <row r="8" spans="1:8" x14ac:dyDescent="0.2">
      <c r="A8" s="28" t="str">
        <f>'Marquage OK'!A2</f>
        <v>JH SIGNALISATION</v>
      </c>
      <c r="B8" s="35">
        <f>'Marquage OK'!B2</f>
        <v>2304.12</v>
      </c>
      <c r="C8" s="35">
        <f>'Marquage OK'!C2</f>
        <v>240.54</v>
      </c>
      <c r="D8" s="35">
        <f>'Marquage OK'!D2</f>
        <v>2585.8049999999994</v>
      </c>
      <c r="E8" s="35">
        <f>'Marquage OK'!E2</f>
        <v>168.79999999999998</v>
      </c>
      <c r="F8" s="35">
        <f>'Marquage OK'!F2</f>
        <v>5299.2649999999994</v>
      </c>
      <c r="G8" s="50"/>
    </row>
    <row r="9" spans="1:8" x14ac:dyDescent="0.2">
      <c r="A9" s="28" t="str">
        <f>'Marquage OK'!A3</f>
        <v>LASER EQUIPEMENT</v>
      </c>
      <c r="B9" s="35">
        <f>'Marquage OK'!B3</f>
        <v>3059.5</v>
      </c>
      <c r="C9" s="35">
        <f>'Marquage OK'!C3</f>
        <v>366.61249999999995</v>
      </c>
      <c r="D9" s="35">
        <f>'Marquage OK'!D3</f>
        <v>1804.05</v>
      </c>
      <c r="E9" s="35">
        <f>'Marquage OK'!E3</f>
        <v>1213.25</v>
      </c>
      <c r="F9" s="35">
        <f>'Marquage OK'!F3</f>
        <v>6443.4125000000004</v>
      </c>
      <c r="G9" s="50"/>
    </row>
    <row r="10" spans="1:8" x14ac:dyDescent="0.2">
      <c r="A10" s="52" t="str">
        <f>'Marquage OK'!A4</f>
        <v>AB MARQUAGE</v>
      </c>
      <c r="B10" s="51">
        <f>'Marquage OK'!B4</f>
        <v>1525.53</v>
      </c>
      <c r="C10" s="51">
        <f>'Marquage OK'!C4</f>
        <v>263.75</v>
      </c>
      <c r="D10" s="51">
        <f>'Marquage OK'!D4</f>
        <v>2895.9749999999999</v>
      </c>
      <c r="E10" s="51">
        <f>'Marquage OK'!E4</f>
        <v>485.29999999999995</v>
      </c>
      <c r="F10" s="51">
        <f>'Marquage OK'!F4</f>
        <v>5170.5550000000003</v>
      </c>
      <c r="G10" s="56" t="str">
        <f>'Marquage OK'!G4</f>
        <v>Fourniture de panneaux inclus</v>
      </c>
    </row>
    <row r="11" spans="1:8" ht="14.25" customHeight="1" x14ac:dyDescent="0.2">
      <c r="A11" s="54"/>
      <c r="B11" s="54"/>
      <c r="C11" s="54"/>
      <c r="D11" s="54"/>
      <c r="E11" s="54"/>
      <c r="F11" s="43"/>
    </row>
    <row r="12" spans="1:8" x14ac:dyDescent="0.2">
      <c r="A12" s="28"/>
      <c r="B12" s="28" t="str">
        <f>'Local poubelle OK'!B1</f>
        <v>local</v>
      </c>
      <c r="C12" s="28" t="str">
        <f>'Local poubelle OK'!C1</f>
        <v>porte</v>
      </c>
      <c r="D12" s="28" t="str">
        <f>'Local poubelle OK'!D1</f>
        <v>nettoyage</v>
      </c>
      <c r="E12" s="28" t="s">
        <v>100</v>
      </c>
      <c r="F12" s="50"/>
    </row>
    <row r="13" spans="1:8" x14ac:dyDescent="0.2">
      <c r="A13" s="52" t="str">
        <f>'Local poubelle OK'!A2</f>
        <v>TDIE</v>
      </c>
      <c r="B13" s="51">
        <f>'Local poubelle OK'!B2</f>
        <v>2029.82</v>
      </c>
      <c r="C13" s="51">
        <f>'Local poubelle OK'!C2</f>
        <v>340.76499999999999</v>
      </c>
      <c r="D13" s="51">
        <f>'Local poubelle OK'!D2</f>
        <v>0</v>
      </c>
      <c r="E13" s="51">
        <f>'Local poubelle OK'!E2</f>
        <v>2370.585</v>
      </c>
      <c r="F13" s="50"/>
    </row>
    <row r="14" spans="1:8" x14ac:dyDescent="0.2">
      <c r="A14" s="28" t="str">
        <f>'Local poubelle OK'!A3</f>
        <v>ART &amp; PEINTURE</v>
      </c>
      <c r="B14" s="35">
        <f>'Local poubelle OK'!B3</f>
        <v>6026.16</v>
      </c>
      <c r="C14" s="35">
        <f>'Local poubelle OK'!C3</f>
        <v>721.62</v>
      </c>
      <c r="D14" s="35">
        <f>'Local poubelle OK'!D3</f>
        <v>0</v>
      </c>
      <c r="E14" s="35">
        <f>'Local poubelle OK'!E3</f>
        <v>6747.78</v>
      </c>
      <c r="F14" s="50"/>
    </row>
    <row r="15" spans="1:8" x14ac:dyDescent="0.2">
      <c r="A15" s="28" t="str">
        <f>'Local poubelle OK'!A4</f>
        <v>F2M</v>
      </c>
      <c r="B15" s="35">
        <f>'Local poubelle OK'!B4</f>
        <v>0</v>
      </c>
      <c r="C15" s="35">
        <f>'Local poubelle OK'!C4</f>
        <v>0</v>
      </c>
      <c r="D15" s="35">
        <f>'Local poubelle OK'!D4</f>
        <v>873</v>
      </c>
      <c r="E15" s="35">
        <f>'Local poubelle OK'!E4</f>
        <v>873</v>
      </c>
      <c r="F15" s="50"/>
    </row>
    <row r="16" spans="1:8" ht="14.25" customHeight="1" x14ac:dyDescent="0.2">
      <c r="A16" s="43"/>
      <c r="B16" s="43"/>
      <c r="C16" s="43"/>
      <c r="D16" s="43"/>
      <c r="E16" s="43"/>
    </row>
    <row r="17" spans="1:7" ht="14.25" customHeight="1" x14ac:dyDescent="0.2">
      <c r="A17" s="57"/>
      <c r="B17" s="57"/>
      <c r="C17" s="57"/>
      <c r="D17" s="57"/>
      <c r="E17" s="57"/>
      <c r="F17" s="57"/>
    </row>
    <row r="18" spans="1:7" x14ac:dyDescent="0.2">
      <c r="A18" s="28"/>
      <c r="B18" s="28" t="str">
        <f>Maconnerie!B1</f>
        <v>cloture</v>
      </c>
      <c r="C18" s="28" t="str">
        <f>Maconnerie!C1</f>
        <v>bordure entrée</v>
      </c>
      <c r="D18" s="28" t="str">
        <f>Maconnerie!D1</f>
        <v>Acces pompier</v>
      </c>
      <c r="E18" s="28" t="str">
        <f>Maconnerie!E1</f>
        <v>Rond-Point</v>
      </c>
      <c r="F18" s="28" t="s">
        <v>100</v>
      </c>
      <c r="G18" s="50"/>
    </row>
    <row r="19" spans="1:7" x14ac:dyDescent="0.2">
      <c r="A19" s="28" t="str">
        <f>Maconnerie!A2</f>
        <v>TDIE</v>
      </c>
      <c r="B19" s="35">
        <f>Maconnerie!B2</f>
        <v>0</v>
      </c>
      <c r="C19" s="45">
        <f>Maconnerie!C2</f>
        <v>1319</v>
      </c>
      <c r="D19" s="35">
        <f>Maconnerie!D2</f>
        <v>766</v>
      </c>
      <c r="E19" s="35">
        <f>Maconnerie!E2</f>
        <v>0</v>
      </c>
      <c r="F19" s="35">
        <f>Maconnerie!F2</f>
        <v>2085</v>
      </c>
      <c r="G19" s="50"/>
    </row>
    <row r="20" spans="1:7" x14ac:dyDescent="0.2">
      <c r="A20" s="52" t="str">
        <f>Maconnerie!A3</f>
        <v>2M</v>
      </c>
      <c r="B20" s="35">
        <f>Maconnerie!B3</f>
        <v>0</v>
      </c>
      <c r="C20" s="51">
        <f>Maconnerie!C3</f>
        <v>956</v>
      </c>
      <c r="D20" s="51">
        <f>Maconnerie!D3</f>
        <v>723</v>
      </c>
      <c r="E20" s="35">
        <f>Maconnerie!E3</f>
        <v>6718</v>
      </c>
      <c r="F20" s="35">
        <f>Maconnerie!F3</f>
        <v>8397</v>
      </c>
      <c r="G20" s="50"/>
    </row>
    <row r="21" spans="1:7" x14ac:dyDescent="0.2">
      <c r="A21" s="28" t="str">
        <f>Maconnerie!A4</f>
        <v>LASER</v>
      </c>
      <c r="B21" s="35">
        <f>Maconnerie!B4</f>
        <v>0</v>
      </c>
      <c r="C21" s="35">
        <f>Maconnerie!C4</f>
        <v>791.25</v>
      </c>
      <c r="D21" s="35">
        <f>Maconnerie!D4</f>
        <v>0</v>
      </c>
      <c r="E21" s="35">
        <f>Maconnerie!E4</f>
        <v>0</v>
      </c>
      <c r="F21" s="35">
        <f>Maconnerie!F4</f>
        <v>791.25</v>
      </c>
      <c r="G21" s="50"/>
    </row>
    <row r="22" spans="1:7" x14ac:dyDescent="0.2">
      <c r="A22" s="28" t="str">
        <f>Maconnerie!A5</f>
        <v>CHAMBARD</v>
      </c>
      <c r="B22" s="35">
        <f>Maconnerie!B5</f>
        <v>0</v>
      </c>
      <c r="C22" s="35">
        <f>Maconnerie!C5</f>
        <v>0</v>
      </c>
      <c r="D22" s="35">
        <f>Maconnerie!D5</f>
        <v>0</v>
      </c>
      <c r="E22" s="35">
        <f>Maconnerie!E5</f>
        <v>0</v>
      </c>
      <c r="F22" s="35">
        <f>Maconnerie!F5</f>
        <v>0</v>
      </c>
      <c r="G22" s="50"/>
    </row>
    <row r="23" spans="1:7" x14ac:dyDescent="0.2">
      <c r="A23" s="28" t="str">
        <f>Maconnerie!A6</f>
        <v>VOISIN</v>
      </c>
      <c r="B23" s="51">
        <f>Maconnerie!B6</f>
        <v>592</v>
      </c>
      <c r="C23" s="35">
        <f>Maconnerie!C6</f>
        <v>0</v>
      </c>
      <c r="D23" s="35">
        <f>Maconnerie!D6</f>
        <v>0</v>
      </c>
      <c r="E23" s="35">
        <f>Maconnerie!E6</f>
        <v>0</v>
      </c>
      <c r="F23" s="35">
        <f>Maconnerie!F6</f>
        <v>592</v>
      </c>
      <c r="G23" s="50"/>
    </row>
    <row r="24" spans="1:7" ht="14.25" customHeight="1" x14ac:dyDescent="0.2">
      <c r="A24" s="54"/>
      <c r="B24" s="54"/>
      <c r="C24" s="54"/>
      <c r="D24" s="43"/>
      <c r="E24" s="43"/>
      <c r="F24" s="43"/>
    </row>
    <row r="25" spans="1:7" x14ac:dyDescent="0.2">
      <c r="A25" s="28"/>
      <c r="B25" s="28" t="str">
        <f>'Gouttieres OK'!B1</f>
        <v>gouttières</v>
      </c>
      <c r="C25" s="28" t="s">
        <v>100</v>
      </c>
      <c r="D25" s="50"/>
    </row>
    <row r="26" spans="1:7" x14ac:dyDescent="0.2">
      <c r="A26" s="28" t="str">
        <f>'Gouttieres OK'!A2</f>
        <v>JP Batiment</v>
      </c>
      <c r="B26" s="35">
        <f>'Gouttieres OK'!B2</f>
        <v>6292</v>
      </c>
      <c r="C26" s="35">
        <f>'Gouttieres OK'!C2</f>
        <v>6292</v>
      </c>
      <c r="D26" s="50"/>
    </row>
    <row r="27" spans="1:7" x14ac:dyDescent="0.2">
      <c r="A27" s="52" t="str">
        <f>'Gouttieres OK'!A3</f>
        <v>CMA</v>
      </c>
      <c r="B27" s="51">
        <f>'Gouttieres OK'!B3</f>
        <v>4353</v>
      </c>
      <c r="C27" s="51">
        <f>'Gouttieres OK'!C3</f>
        <v>4353</v>
      </c>
      <c r="D27" s="50"/>
    </row>
    <row r="28" spans="1:7" x14ac:dyDescent="0.2">
      <c r="A28" s="55">
        <f>'Gouttieres OK'!A4</f>
        <v>0</v>
      </c>
      <c r="B28" s="35">
        <f>'Gouttieres OK'!B4</f>
        <v>0</v>
      </c>
      <c r="C28" s="35">
        <f>'Gouttieres OK'!C4</f>
        <v>0</v>
      </c>
      <c r="D28" s="50"/>
    </row>
    <row r="29" spans="1:7" x14ac:dyDescent="0.2">
      <c r="A29" s="55">
        <f>'Gouttieres OK'!A5</f>
        <v>0</v>
      </c>
      <c r="B29" s="35">
        <f>'Gouttieres OK'!B5</f>
        <v>0</v>
      </c>
      <c r="C29" s="35">
        <f>'Gouttieres OK'!C5</f>
        <v>0</v>
      </c>
      <c r="D29" s="50"/>
    </row>
    <row r="30" spans="1:7" ht="14.25" customHeight="1" x14ac:dyDescent="0.2">
      <c r="A30" s="54"/>
      <c r="B30" s="54"/>
      <c r="C30" s="54"/>
    </row>
    <row r="31" spans="1:7" x14ac:dyDescent="0.2">
      <c r="A31" s="35"/>
      <c r="B31" s="35" t="str">
        <f>pelouse!B1</f>
        <v>pelouse</v>
      </c>
      <c r="C31" s="35" t="s">
        <v>100</v>
      </c>
      <c r="D31" s="50"/>
    </row>
    <row r="32" spans="1:7" x14ac:dyDescent="0.2">
      <c r="A32" s="35" t="str">
        <f>pelouse!A2</f>
        <v>CHAMBARD</v>
      </c>
      <c r="B32" s="35">
        <f>pelouse!B2</f>
        <v>0</v>
      </c>
      <c r="C32" s="35">
        <f>pelouse!C2</f>
        <v>0</v>
      </c>
      <c r="D32" s="50"/>
    </row>
    <row r="33" spans="1:5" x14ac:dyDescent="0.2">
      <c r="A33" s="35" t="str">
        <f>pelouse!A3</f>
        <v>VOISIN</v>
      </c>
      <c r="B33" s="51">
        <f>pelouse!B3</f>
        <v>2296</v>
      </c>
      <c r="C33" s="51">
        <f>pelouse!C3</f>
        <v>2296</v>
      </c>
      <c r="D33" s="50"/>
    </row>
    <row r="34" spans="1:5" x14ac:dyDescent="0.2">
      <c r="A34" s="35">
        <f>pelouse!A4</f>
        <v>0</v>
      </c>
      <c r="B34" s="35">
        <f>pelouse!B4</f>
        <v>0</v>
      </c>
      <c r="C34" s="35">
        <f>pelouse!C4</f>
        <v>0</v>
      </c>
      <c r="D34" s="50"/>
    </row>
    <row r="35" spans="1:5" x14ac:dyDescent="0.2">
      <c r="A35" s="35">
        <f>pelouse!A5</f>
        <v>0</v>
      </c>
      <c r="B35" s="35">
        <f>pelouse!B5</f>
        <v>0</v>
      </c>
      <c r="C35" s="35">
        <f>pelouse!C5</f>
        <v>0</v>
      </c>
      <c r="D35" s="50"/>
    </row>
    <row r="36" spans="1:5" ht="14.25" customHeight="1" x14ac:dyDescent="0.2">
      <c r="A36" s="43"/>
      <c r="B36" s="43"/>
      <c r="C36" s="43"/>
    </row>
    <row r="37" spans="1:5" ht="14.25" customHeight="1" x14ac:dyDescent="0.2">
      <c r="A37" s="57"/>
      <c r="B37" s="57"/>
      <c r="C37" s="57"/>
      <c r="D37" s="57"/>
    </row>
    <row r="38" spans="1:5" x14ac:dyDescent="0.2">
      <c r="A38" s="28"/>
      <c r="B38" s="28" t="str">
        <f>Tuyaux!B1</f>
        <v>Curage</v>
      </c>
      <c r="C38" s="28" t="str">
        <f>Tuyaux!C1</f>
        <v>Entretien</v>
      </c>
      <c r="D38" s="28" t="s">
        <v>100</v>
      </c>
      <c r="E38" s="50"/>
    </row>
    <row r="39" spans="1:5" x14ac:dyDescent="0.2">
      <c r="A39" s="28" t="str">
        <f>Tuyaux!A2</f>
        <v>SICRE</v>
      </c>
      <c r="B39" s="58">
        <f>Tuyaux!B2</f>
        <v>6066</v>
      </c>
      <c r="C39" s="59">
        <f>Tuyaux!C2</f>
        <v>1419</v>
      </c>
      <c r="D39" s="58">
        <f>Tuyaux!D2</f>
        <v>7485</v>
      </c>
      <c r="E39" s="50"/>
    </row>
    <row r="40" spans="1:5" x14ac:dyDescent="0.2">
      <c r="A40" s="28" t="str">
        <f>Tuyaux!A3</f>
        <v>VEOLIA</v>
      </c>
      <c r="B40" s="58">
        <f>Tuyaux!B3</f>
        <v>6035</v>
      </c>
      <c r="C40" s="58">
        <f>Tuyaux!C3</f>
        <v>2615</v>
      </c>
      <c r="D40" s="58">
        <f>Tuyaux!D3</f>
        <v>8650</v>
      </c>
      <c r="E40" s="50"/>
    </row>
    <row r="41" spans="1:5" x14ac:dyDescent="0.2">
      <c r="A41" s="55">
        <f>Tuyaux!A4</f>
        <v>0</v>
      </c>
      <c r="B41" s="58">
        <f>Tuyaux!B4</f>
        <v>0</v>
      </c>
      <c r="C41" s="58">
        <f>Tuyaux!C4</f>
        <v>0</v>
      </c>
      <c r="D41" s="58">
        <f>Tuyaux!D4</f>
        <v>0</v>
      </c>
      <c r="E41" s="50"/>
    </row>
    <row r="42" spans="1:5" x14ac:dyDescent="0.2">
      <c r="A42" s="55">
        <f>Tuyaux!A5</f>
        <v>0</v>
      </c>
      <c r="B42" s="58">
        <f>Tuyaux!B5</f>
        <v>0</v>
      </c>
      <c r="C42" s="58">
        <f>Tuyaux!C5</f>
        <v>0</v>
      </c>
      <c r="D42" s="58">
        <f>Tuyaux!D5</f>
        <v>0</v>
      </c>
      <c r="E42" s="50"/>
    </row>
  </sheetData>
  <pageMargins left="0.75" right="0.75" top="1" bottom="1" header="0.5" footer="0.5"/>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heetViews>
  <sheetFormatPr baseColWidth="10" defaultColWidth="11.42578125" defaultRowHeight="14.25" customHeight="1" x14ac:dyDescent="0.2"/>
  <cols>
    <col min="1" max="1" width="19" customWidth="1"/>
    <col min="2" max="7" width="11.42578125" customWidth="1"/>
  </cols>
  <sheetData>
    <row r="1" spans="1:7" x14ac:dyDescent="0.2">
      <c r="A1" s="28"/>
      <c r="B1" s="28" t="s">
        <v>25</v>
      </c>
      <c r="C1" s="28" t="s">
        <v>93</v>
      </c>
      <c r="D1" s="28" t="s">
        <v>41</v>
      </c>
      <c r="E1" s="28" t="s">
        <v>24</v>
      </c>
      <c r="F1" s="28"/>
      <c r="G1" s="50"/>
    </row>
    <row r="2" spans="1:7" x14ac:dyDescent="0.2">
      <c r="A2" s="28" t="s">
        <v>43</v>
      </c>
      <c r="B2" s="35">
        <f>(1470+714)*1.055</f>
        <v>2304.12</v>
      </c>
      <c r="C2" s="35">
        <f>228*1.055</f>
        <v>240.54</v>
      </c>
      <c r="D2" s="35">
        <f>(5023*1.055)-((B2+C2)+E2)</f>
        <v>2585.8049999999994</v>
      </c>
      <c r="E2" s="35">
        <f>160*1.055</f>
        <v>168.79999999999998</v>
      </c>
      <c r="F2" s="35">
        <f>SUM(B2:E2)</f>
        <v>5299.2649999999994</v>
      </c>
      <c r="G2" s="50"/>
    </row>
    <row r="3" spans="1:7" x14ac:dyDescent="0.2">
      <c r="A3" s="28" t="s">
        <v>129</v>
      </c>
      <c r="B3" s="35">
        <f>2900*1.055</f>
        <v>3059.5</v>
      </c>
      <c r="C3" s="35">
        <f>(172.5+175)*1.055</f>
        <v>366.61249999999995</v>
      </c>
      <c r="D3" s="35">
        <f>1710*1.055</f>
        <v>1804.05</v>
      </c>
      <c r="E3" s="35">
        <f>1150*1.055</f>
        <v>1213.25</v>
      </c>
      <c r="F3" s="35">
        <f>SUM(B3:E3)</f>
        <v>6443.4125000000004</v>
      </c>
      <c r="G3" s="50"/>
    </row>
    <row r="4" spans="1:7" x14ac:dyDescent="0.2">
      <c r="A4" s="52" t="s">
        <v>167</v>
      </c>
      <c r="B4" s="51">
        <f>((490+641)+315)*1.055</f>
        <v>1525.53</v>
      </c>
      <c r="C4" s="51">
        <f>250*1.055</f>
        <v>263.75</v>
      </c>
      <c r="D4" s="51">
        <f>2745*1.055</f>
        <v>2895.9749999999999</v>
      </c>
      <c r="E4" s="51">
        <f>460*1.055</f>
        <v>485.29999999999995</v>
      </c>
      <c r="F4" s="51">
        <f>SUM(B4:E4)</f>
        <v>5170.5550000000003</v>
      </c>
      <c r="G4" s="60" t="s">
        <v>74</v>
      </c>
    </row>
    <row r="5" spans="1:7" ht="14.25" customHeight="1" x14ac:dyDescent="0.2">
      <c r="A5" s="43"/>
      <c r="B5" s="43"/>
      <c r="C5" s="43"/>
      <c r="D5" s="43"/>
      <c r="E5" s="43"/>
      <c r="F5" s="43"/>
    </row>
  </sheetData>
  <pageMargins left="0.75" right="0.75" top="1" bottom="1" header="0.5" footer="0.5"/>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heetViews>
  <sheetFormatPr baseColWidth="10" defaultColWidth="11.42578125" defaultRowHeight="14.25" customHeight="1" x14ac:dyDescent="0.2"/>
  <cols>
    <col min="1" max="1" width="18.85546875" customWidth="1"/>
    <col min="2" max="6" width="11.42578125" customWidth="1"/>
  </cols>
  <sheetData>
    <row r="1" spans="1:6" x14ac:dyDescent="0.2">
      <c r="A1" s="28"/>
      <c r="B1" s="28" t="s">
        <v>179</v>
      </c>
      <c r="C1" s="28" t="s">
        <v>77</v>
      </c>
      <c r="D1" s="28" t="s">
        <v>88</v>
      </c>
      <c r="E1" s="28"/>
      <c r="F1" s="50"/>
    </row>
    <row r="2" spans="1:6" x14ac:dyDescent="0.2">
      <c r="A2" s="52" t="s">
        <v>137</v>
      </c>
      <c r="B2" s="61">
        <f>1924*1.055</f>
        <v>2029.82</v>
      </c>
      <c r="C2" s="61">
        <f>323*1.055</f>
        <v>340.76499999999999</v>
      </c>
      <c r="D2" s="61"/>
      <c r="E2" s="61">
        <f>SUM(B2:D2)</f>
        <v>2370.585</v>
      </c>
      <c r="F2" s="50"/>
    </row>
    <row r="3" spans="1:6" x14ac:dyDescent="0.2">
      <c r="A3" s="28" t="s">
        <v>92</v>
      </c>
      <c r="B3" s="45">
        <f>5712*1.055</f>
        <v>6026.16</v>
      </c>
      <c r="C3" s="45">
        <f>684*1.055</f>
        <v>721.62</v>
      </c>
      <c r="D3" s="45"/>
      <c r="E3" s="45">
        <f>SUM(B3:D3)</f>
        <v>6747.78</v>
      </c>
      <c r="F3" s="50"/>
    </row>
    <row r="4" spans="1:6" x14ac:dyDescent="0.2">
      <c r="A4" s="28" t="s">
        <v>177</v>
      </c>
      <c r="B4" s="45"/>
      <c r="C4" s="45"/>
      <c r="D4" s="61">
        <v>873</v>
      </c>
      <c r="E4" s="45">
        <f>SUM(B4:D4)</f>
        <v>873</v>
      </c>
      <c r="F4" s="50"/>
    </row>
    <row r="5" spans="1:6" x14ac:dyDescent="0.2">
      <c r="A5" s="28"/>
      <c r="B5" s="45"/>
      <c r="C5" s="45"/>
      <c r="D5" s="45"/>
      <c r="E5" s="45">
        <f>SUM(B5:D5)</f>
        <v>0</v>
      </c>
      <c r="F5" s="50"/>
    </row>
    <row r="6" spans="1:6" ht="14.25" customHeight="1" x14ac:dyDescent="0.2">
      <c r="A6" s="43"/>
      <c r="B6" s="43"/>
      <c r="C6" s="43"/>
      <c r="D6" s="43"/>
      <c r="E6" s="43"/>
    </row>
  </sheetData>
  <pageMargins left="0.75" right="0.75" top="1" bottom="1" header="0.5" footer="0.5"/>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baseColWidth="10" defaultColWidth="11.42578125" defaultRowHeight="14.25" customHeight="1" x14ac:dyDescent="0.2"/>
  <cols>
    <col min="1" max="1" width="14" customWidth="1"/>
    <col min="2" max="2" width="11.42578125" customWidth="1"/>
    <col min="3" max="5" width="13" customWidth="1"/>
    <col min="6" max="6" width="11.42578125" customWidth="1"/>
  </cols>
  <sheetData>
    <row r="1" spans="1:6" x14ac:dyDescent="0.2">
      <c r="A1" s="28"/>
      <c r="B1" s="28" t="s">
        <v>47</v>
      </c>
      <c r="C1" s="28" t="s">
        <v>9</v>
      </c>
      <c r="D1" s="28" t="s">
        <v>163</v>
      </c>
      <c r="E1" s="28" t="s">
        <v>46</v>
      </c>
      <c r="F1" s="28"/>
    </row>
    <row r="2" spans="1:6" x14ac:dyDescent="0.2">
      <c r="A2" s="28" t="s">
        <v>137</v>
      </c>
      <c r="B2" s="35"/>
      <c r="C2" s="45">
        <v>1319</v>
      </c>
      <c r="D2" s="35">
        <v>766</v>
      </c>
      <c r="E2" s="35"/>
      <c r="F2" s="35">
        <f>SUM(B2:E2)</f>
        <v>2085</v>
      </c>
    </row>
    <row r="3" spans="1:6" x14ac:dyDescent="0.2">
      <c r="A3" s="52" t="s">
        <v>38</v>
      </c>
      <c r="B3" s="51"/>
      <c r="C3" s="51">
        <f>478*2</f>
        <v>956</v>
      </c>
      <c r="D3" s="51">
        <v>723</v>
      </c>
      <c r="E3" s="35">
        <v>6718</v>
      </c>
      <c r="F3" s="35">
        <f>SUM(B3:E3)</f>
        <v>8397</v>
      </c>
    </row>
    <row r="4" spans="1:6" x14ac:dyDescent="0.2">
      <c r="A4" s="28" t="s">
        <v>17</v>
      </c>
      <c r="B4" s="35"/>
      <c r="C4" s="35">
        <f>750*1.055</f>
        <v>791.25</v>
      </c>
      <c r="D4" s="35"/>
      <c r="E4" s="35"/>
      <c r="F4" s="35">
        <f>SUM(B4:E4)</f>
        <v>791.25</v>
      </c>
    </row>
    <row r="5" spans="1:6" x14ac:dyDescent="0.2">
      <c r="A5" s="28" t="s">
        <v>124</v>
      </c>
      <c r="B5" s="35"/>
      <c r="C5" s="35"/>
      <c r="D5" s="35"/>
      <c r="E5" s="35"/>
      <c r="F5" s="35">
        <f>SUM(B5:E5)</f>
        <v>0</v>
      </c>
    </row>
    <row r="6" spans="1:6" x14ac:dyDescent="0.2">
      <c r="A6" s="28" t="s">
        <v>85</v>
      </c>
      <c r="B6" s="51">
        <v>592</v>
      </c>
      <c r="C6" s="35"/>
      <c r="D6" s="35"/>
      <c r="E6" s="35"/>
      <c r="F6" s="35">
        <f>SUM(B6:E6)</f>
        <v>592</v>
      </c>
    </row>
    <row r="7" spans="1:6" ht="14.25" customHeight="1" x14ac:dyDescent="0.2">
      <c r="A7" s="43"/>
      <c r="B7" s="43"/>
      <c r="C7" s="43"/>
      <c r="D7" s="43"/>
      <c r="E7" s="43"/>
      <c r="F7" s="43"/>
    </row>
  </sheetData>
  <pageMargins left="0.75" right="0.75" top="1" bottom="1" header="0.5" footer="0.5"/>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baseColWidth="10" defaultColWidth="11.42578125" defaultRowHeight="14.25" customHeight="1" x14ac:dyDescent="0.2"/>
  <cols>
    <col min="1" max="1" width="11.42578125" customWidth="1"/>
    <col min="2" max="2" width="12.7109375" customWidth="1"/>
    <col min="3" max="6" width="11.42578125" customWidth="1"/>
  </cols>
  <sheetData>
    <row r="1" spans="1:4" x14ac:dyDescent="0.2">
      <c r="A1" s="28"/>
      <c r="B1" s="28" t="s">
        <v>57</v>
      </c>
      <c r="C1" s="28"/>
      <c r="D1" s="50"/>
    </row>
    <row r="2" spans="1:4" x14ac:dyDescent="0.2">
      <c r="A2" s="28" t="s">
        <v>127</v>
      </c>
      <c r="B2" s="35">
        <v>6292</v>
      </c>
      <c r="C2" s="35">
        <f>SUM(B2:B2)</f>
        <v>6292</v>
      </c>
      <c r="D2" s="50"/>
    </row>
    <row r="3" spans="1:4" x14ac:dyDescent="0.2">
      <c r="A3" s="52" t="s">
        <v>71</v>
      </c>
      <c r="B3" s="51">
        <v>4353</v>
      </c>
      <c r="C3" s="51">
        <f>SUM(B3:B3)</f>
        <v>4353</v>
      </c>
      <c r="D3" s="50"/>
    </row>
    <row r="4" spans="1:4" x14ac:dyDescent="0.2">
      <c r="A4" s="28"/>
      <c r="B4" s="35"/>
      <c r="C4" s="35">
        <f>SUM(B4:B4)</f>
        <v>0</v>
      </c>
      <c r="D4" s="50"/>
    </row>
    <row r="5" spans="1:4" x14ac:dyDescent="0.2">
      <c r="A5" s="28"/>
      <c r="B5" s="35"/>
      <c r="C5" s="35">
        <f>SUM(B5:B5)</f>
        <v>0</v>
      </c>
      <c r="D5" s="50"/>
    </row>
    <row r="6" spans="1:4" ht="14.25" customHeight="1" x14ac:dyDescent="0.2">
      <c r="A6" s="43"/>
      <c r="B6" s="43"/>
      <c r="C6" s="43"/>
    </row>
  </sheetData>
  <pageMargins left="0.75" right="0.75" top="1" bottom="1" header="0.5" footer="0.5"/>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baseColWidth="10" defaultColWidth="11.42578125" defaultRowHeight="14.25" customHeight="1" x14ac:dyDescent="0.2"/>
  <cols>
    <col min="1" max="1" width="11.42578125" customWidth="1"/>
    <col min="2" max="2" width="12.5703125" customWidth="1"/>
    <col min="3" max="6" width="11.42578125" customWidth="1"/>
  </cols>
  <sheetData>
    <row r="1" spans="1:4" x14ac:dyDescent="0.2">
      <c r="A1" s="28"/>
      <c r="B1" s="28" t="s">
        <v>29</v>
      </c>
      <c r="C1" s="28"/>
      <c r="D1" s="50"/>
    </row>
    <row r="2" spans="1:4" x14ac:dyDescent="0.2">
      <c r="A2" s="28" t="s">
        <v>124</v>
      </c>
      <c r="B2" s="58"/>
      <c r="C2" s="58">
        <f>SUM(B2:B2)</f>
        <v>0</v>
      </c>
      <c r="D2" s="50"/>
    </row>
    <row r="3" spans="1:4" x14ac:dyDescent="0.2">
      <c r="A3" s="28" t="s">
        <v>85</v>
      </c>
      <c r="B3" s="35">
        <v>2296</v>
      </c>
      <c r="C3" s="35">
        <f>SUM(B3:B3)</f>
        <v>2296</v>
      </c>
      <c r="D3" s="50"/>
    </row>
    <row r="4" spans="1:4" x14ac:dyDescent="0.2">
      <c r="A4" s="28"/>
      <c r="B4" s="58"/>
      <c r="C4" s="58">
        <f>SUM(B4:B4)</f>
        <v>0</v>
      </c>
      <c r="D4" s="50"/>
    </row>
    <row r="5" spans="1:4" x14ac:dyDescent="0.2">
      <c r="A5" s="28"/>
      <c r="B5" s="58"/>
      <c r="C5" s="58">
        <f>SUM(B5:B5)</f>
        <v>0</v>
      </c>
      <c r="D5" s="50"/>
    </row>
    <row r="6" spans="1:4" ht="14.25" customHeight="1" x14ac:dyDescent="0.2">
      <c r="A6" s="43"/>
      <c r="B6" s="43"/>
      <c r="C6" s="43"/>
    </row>
  </sheetData>
  <pageMargins left="0.75" right="0.75" top="1" bottom="1" header="0.5" footer="0.5"/>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Points Ouverts AG</vt:lpstr>
      <vt:lpstr>Analyse Budget 2009</vt:lpstr>
      <vt:lpstr>Budget 2009</vt:lpstr>
      <vt:lpstr>Bac à sable OK</vt:lpstr>
      <vt:lpstr>Marquage OK</vt:lpstr>
      <vt:lpstr>Local poubelle OK</vt:lpstr>
      <vt:lpstr>Maconnerie</vt:lpstr>
      <vt:lpstr>Gouttieres OK</vt:lpstr>
      <vt:lpstr>pelouse</vt:lpstr>
      <vt:lpstr>Tuyaux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dc:creator>
  <cp:lastModifiedBy>Michel</cp:lastModifiedBy>
  <dcterms:created xsi:type="dcterms:W3CDTF">2012-09-13T06:47:24Z</dcterms:created>
  <dcterms:modified xsi:type="dcterms:W3CDTF">2012-09-13T06:47:25Z</dcterms:modified>
</cp:coreProperties>
</file>